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sl\Desktop\Asseri\VAMK\Arenen keke-työryhmä_Laskenta ja kompensaatio_\Laskurit\"/>
    </mc:Choice>
  </mc:AlternateContent>
  <xr:revisionPtr revIDLastSave="0" documentId="13_ncr:1_{CCF45D78-B98C-4D68-98C3-49B44BC5E5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hdanto" sheetId="4" r:id="rId1"/>
    <sheet name="Matkustaminen" sheetId="1" r:id="rId2"/>
    <sheet name="Kiinteistöt" sheetId="3" r:id="rId3"/>
    <sheet name="Hankinnat" sheetId="6" r:id="rId4"/>
    <sheet name="Yhteenveto" sheetId="5" r:id="rId5"/>
    <sheet name="Kertoimet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5" l="1"/>
  <c r="G10" i="5" s="1"/>
  <c r="G9" i="5"/>
  <c r="Y28" i="3"/>
  <c r="C8" i="1"/>
  <c r="C7" i="1"/>
  <c r="C6" i="1"/>
  <c r="C75" i="2" l="1"/>
  <c r="C64" i="2" s="1"/>
  <c r="C74" i="2"/>
  <c r="C63" i="2" s="1"/>
  <c r="C68" i="2"/>
  <c r="C67" i="2"/>
  <c r="C61" i="2"/>
  <c r="C65" i="2"/>
  <c r="C62" i="2"/>
  <c r="C58" i="2"/>
  <c r="C57" i="2"/>
  <c r="C56" i="2"/>
  <c r="C17" i="2" l="1"/>
  <c r="C66" i="2" s="1"/>
  <c r="C6" i="2"/>
  <c r="C12" i="6"/>
  <c r="D6" i="6"/>
  <c r="D7" i="6"/>
  <c r="D8" i="6"/>
  <c r="D9" i="6"/>
  <c r="D10" i="6"/>
  <c r="D11" i="6"/>
  <c r="D5" i="6"/>
  <c r="C16" i="3"/>
  <c r="C72" i="2"/>
  <c r="C28" i="1" s="1"/>
  <c r="C71" i="2"/>
  <c r="C27" i="1" s="1"/>
  <c r="C29" i="1"/>
  <c r="C30" i="1"/>
  <c r="W22" i="3" l="1"/>
  <c r="C77" i="2" l="1"/>
  <c r="C31" i="1" s="1"/>
  <c r="U11" i="3" l="1"/>
  <c r="U12" i="3"/>
  <c r="U13" i="3"/>
  <c r="U14" i="3"/>
  <c r="U15" i="3"/>
  <c r="U10" i="3"/>
  <c r="C35" i="2" l="1"/>
  <c r="C34" i="2"/>
  <c r="C33" i="2"/>
  <c r="C32" i="2"/>
  <c r="C31" i="2"/>
  <c r="C24" i="2"/>
  <c r="C23" i="2"/>
  <c r="C22" i="2"/>
  <c r="C21" i="2"/>
  <c r="C20" i="2"/>
  <c r="C8" i="2" l="1"/>
  <c r="C13" i="2"/>
  <c r="C12" i="2"/>
  <c r="C11" i="2"/>
  <c r="C10" i="2"/>
  <c r="C9" i="2"/>
  <c r="A2" i="3" l="1"/>
  <c r="A2" i="6"/>
  <c r="A49" i="1" l="1"/>
  <c r="D52" i="1" l="1"/>
  <c r="B22" i="3"/>
  <c r="V11" i="3" l="1"/>
  <c r="W11" i="3" s="1"/>
  <c r="V12" i="3"/>
  <c r="W12" i="3" s="1"/>
  <c r="V13" i="3"/>
  <c r="W13" i="3" s="1"/>
  <c r="V14" i="3"/>
  <c r="W14" i="3" s="1"/>
  <c r="V15" i="3"/>
  <c r="W15" i="3" s="1"/>
  <c r="V10" i="3"/>
  <c r="W10" i="3" s="1"/>
  <c r="W23" i="3"/>
  <c r="X23" i="3" s="1"/>
  <c r="W24" i="3"/>
  <c r="X24" i="3" s="1"/>
  <c r="W25" i="3"/>
  <c r="X25" i="3" s="1"/>
  <c r="W26" i="3"/>
  <c r="X26" i="3" s="1"/>
  <c r="W27" i="3"/>
  <c r="X27" i="3" s="1"/>
  <c r="X22" i="3"/>
  <c r="T23" i="3"/>
  <c r="U23" i="3" s="1"/>
  <c r="T24" i="3"/>
  <c r="U24" i="3" s="1"/>
  <c r="T25" i="3"/>
  <c r="U25" i="3" s="1"/>
  <c r="T26" i="3"/>
  <c r="U26" i="3" s="1"/>
  <c r="T27" i="3"/>
  <c r="U27" i="3" s="1"/>
  <c r="T22" i="3"/>
  <c r="U22" i="3" s="1"/>
  <c r="Q23" i="3"/>
  <c r="R23" i="3" s="1"/>
  <c r="Q24" i="3"/>
  <c r="R24" i="3" s="1"/>
  <c r="Q25" i="3"/>
  <c r="R25" i="3" s="1"/>
  <c r="Q26" i="3"/>
  <c r="R26" i="3" s="1"/>
  <c r="Q27" i="3"/>
  <c r="R27" i="3" s="1"/>
  <c r="Q22" i="3"/>
  <c r="R22" i="3" s="1"/>
  <c r="N23" i="3"/>
  <c r="N24" i="3"/>
  <c r="N25" i="3"/>
  <c r="N26" i="3"/>
  <c r="N27" i="3"/>
  <c r="N22" i="3"/>
  <c r="K25" i="3"/>
  <c r="L25" i="3" s="1"/>
  <c r="K23" i="3"/>
  <c r="L23" i="3" s="1"/>
  <c r="K24" i="3"/>
  <c r="L24" i="3" s="1"/>
  <c r="K26" i="3"/>
  <c r="L26" i="3" s="1"/>
  <c r="K27" i="3"/>
  <c r="L27" i="3" s="1"/>
  <c r="K22" i="3"/>
  <c r="L22" i="3" s="1"/>
  <c r="H23" i="3"/>
  <c r="H24" i="3"/>
  <c r="H25" i="3"/>
  <c r="H26" i="3"/>
  <c r="H27" i="3"/>
  <c r="H22" i="3"/>
  <c r="I22" i="3" s="1"/>
  <c r="E23" i="3"/>
  <c r="E24" i="3"/>
  <c r="E25" i="3"/>
  <c r="F25" i="3" s="1"/>
  <c r="E26" i="3"/>
  <c r="E27" i="3"/>
  <c r="E22" i="3"/>
  <c r="F22" i="3" s="1"/>
  <c r="V28" i="3"/>
  <c r="S28" i="3"/>
  <c r="P28" i="3"/>
  <c r="C23" i="3"/>
  <c r="C24" i="3"/>
  <c r="C25" i="3"/>
  <c r="C26" i="3"/>
  <c r="C27" i="3"/>
  <c r="C22" i="3"/>
  <c r="A23" i="3"/>
  <c r="B23" i="3"/>
  <c r="A24" i="3"/>
  <c r="B24" i="3"/>
  <c r="A25" i="3"/>
  <c r="B25" i="3"/>
  <c r="A26" i="3"/>
  <c r="B26" i="3"/>
  <c r="A27" i="3"/>
  <c r="B27" i="3"/>
  <c r="A22" i="3"/>
  <c r="O24" i="3" l="1"/>
  <c r="O27" i="3"/>
  <c r="O23" i="3"/>
  <c r="O26" i="3"/>
  <c r="O22" i="3"/>
  <c r="O25" i="3"/>
  <c r="W28" i="3"/>
  <c r="Q28" i="3"/>
  <c r="T28" i="3"/>
  <c r="C28" i="3"/>
  <c r="I23" i="3" l="1"/>
  <c r="I24" i="3"/>
  <c r="I25" i="3"/>
  <c r="I26" i="3"/>
  <c r="I27" i="3"/>
  <c r="F23" i="3"/>
  <c r="F24" i="3"/>
  <c r="F26" i="3"/>
  <c r="F27" i="3"/>
  <c r="C30" i="2" l="1"/>
  <c r="K13" i="3" l="1"/>
  <c r="L13" i="3" s="1"/>
  <c r="K14" i="3"/>
  <c r="L14" i="3" s="1"/>
  <c r="K11" i="3"/>
  <c r="L11" i="3" s="1"/>
  <c r="K15" i="3"/>
  <c r="L15" i="3" s="1"/>
  <c r="K12" i="3"/>
  <c r="L12" i="3" s="1"/>
  <c r="K10" i="3"/>
  <c r="L10" i="3" s="1"/>
  <c r="F11" i="3"/>
  <c r="F15" i="3"/>
  <c r="F10" i="3"/>
  <c r="F12" i="3"/>
  <c r="F13" i="3"/>
  <c r="F14" i="3"/>
  <c r="C29" i="2"/>
  <c r="D50" i="1"/>
  <c r="C14" i="1"/>
  <c r="C40" i="1"/>
  <c r="C39" i="1"/>
  <c r="P11" i="3" l="1"/>
  <c r="Q11" i="3" s="1"/>
  <c r="R11" i="3" s="1"/>
  <c r="P15" i="3"/>
  <c r="Q15" i="3" s="1"/>
  <c r="R15" i="3" s="1"/>
  <c r="P12" i="3"/>
  <c r="Q12" i="3" s="1"/>
  <c r="R12" i="3" s="1"/>
  <c r="P10" i="3"/>
  <c r="Q10" i="3" s="1"/>
  <c r="R10" i="3" s="1"/>
  <c r="P13" i="3"/>
  <c r="Q13" i="3" s="1"/>
  <c r="R13" i="3" s="1"/>
  <c r="P14" i="3"/>
  <c r="Q14" i="3" s="1"/>
  <c r="R14" i="3" s="1"/>
  <c r="M15" i="3"/>
  <c r="M13" i="3"/>
  <c r="M11" i="3"/>
  <c r="M14" i="3"/>
  <c r="M12" i="3"/>
  <c r="M10" i="3"/>
  <c r="A19" i="1"/>
  <c r="A22" i="1"/>
  <c r="A23" i="1"/>
  <c r="A24" i="1"/>
  <c r="A25" i="1"/>
  <c r="C25" i="1"/>
  <c r="C24" i="1"/>
  <c r="C21" i="1" l="1"/>
  <c r="C23" i="1"/>
  <c r="A35" i="1" l="1"/>
  <c r="A18" i="1"/>
  <c r="T18" i="5" l="1"/>
  <c r="D12" i="6" l="1"/>
  <c r="G11" i="5" s="1"/>
  <c r="B9" i="1"/>
  <c r="B12" i="6"/>
  <c r="C22" i="1"/>
  <c r="C20" i="1"/>
  <c r="C19" i="1"/>
  <c r="T9" i="5" l="1"/>
  <c r="C9" i="1"/>
  <c r="T8" i="5" s="1"/>
  <c r="C19" i="2"/>
  <c r="M28" i="3" l="1"/>
  <c r="J28" i="3"/>
  <c r="G28" i="3"/>
  <c r="D28" i="3"/>
  <c r="S16" i="3"/>
  <c r="Q16" i="3"/>
  <c r="N16" i="3"/>
  <c r="I16" i="3"/>
  <c r="D16" i="3"/>
  <c r="N28" i="3" l="1"/>
  <c r="K28" i="3"/>
  <c r="H28" i="3"/>
  <c r="E28" i="3"/>
  <c r="T14" i="5" s="1"/>
  <c r="T12" i="5" l="1"/>
  <c r="A3" i="5"/>
  <c r="L16" i="3" l="1"/>
  <c r="T6" i="5" s="1"/>
  <c r="V16" i="3" l="1"/>
  <c r="T15" i="5" s="1"/>
  <c r="D53" i="1" l="1"/>
  <c r="T10" i="5" s="1"/>
  <c r="C47" i="1"/>
  <c r="T19" i="5" s="1"/>
  <c r="C44" i="1"/>
  <c r="C35" i="1"/>
  <c r="C41" i="1" s="1"/>
  <c r="C18" i="1"/>
  <c r="C32" i="1" s="1"/>
  <c r="T13" i="5" l="1"/>
  <c r="T17" i="5"/>
  <c r="G13" i="3"/>
  <c r="G14" i="3"/>
  <c r="G11" i="3"/>
  <c r="Y23" i="3" s="1"/>
  <c r="G15" i="3"/>
  <c r="G12" i="3"/>
  <c r="Y24" i="3" s="1"/>
  <c r="G10" i="3"/>
  <c r="Y22" i="3" s="1"/>
  <c r="C12" i="1"/>
  <c r="T16" i="5" s="1"/>
  <c r="Y25" i="3" l="1"/>
  <c r="Z25" i="3" s="1"/>
  <c r="Y26" i="3"/>
  <c r="Z26" i="3" s="1"/>
  <c r="Y27" i="3"/>
  <c r="Z27" i="3" s="1"/>
  <c r="H10" i="3"/>
  <c r="Z22" i="3"/>
  <c r="H12" i="3"/>
  <c r="Z24" i="3"/>
  <c r="H11" i="3"/>
  <c r="Z23" i="3"/>
  <c r="C15" i="1"/>
  <c r="H13" i="3"/>
  <c r="H15" i="3"/>
  <c r="H14" i="3"/>
  <c r="G16" i="3"/>
  <c r="T7" i="5" s="1"/>
  <c r="Z28" i="3" l="1"/>
  <c r="D57" i="1"/>
  <c r="G7" i="5" s="1"/>
  <c r="Z29" i="3"/>
  <c r="AI22" i="3" l="1"/>
  <c r="AJ22" i="3" s="1"/>
  <c r="AI25" i="3"/>
  <c r="AJ25" i="3" s="1"/>
  <c r="AI23" i="3"/>
  <c r="AJ23" i="3" s="1"/>
  <c r="AI24" i="3"/>
  <c r="AJ24" i="3" s="1"/>
  <c r="AI26" i="3"/>
  <c r="AJ26" i="3" s="1"/>
  <c r="AJ27" i="3" l="1"/>
  <c r="G12" i="5" l="1"/>
  <c r="T20" i="5" s="1"/>
  <c r="T11" i="5"/>
  <c r="U19" i="5" l="1"/>
  <c r="U17" i="5"/>
  <c r="U13" i="5"/>
  <c r="U7" i="5"/>
  <c r="U16" i="5"/>
  <c r="U6" i="5"/>
  <c r="U10" i="5"/>
  <c r="U12" i="5"/>
  <c r="U15" i="5"/>
  <c r="U18" i="5"/>
  <c r="U8" i="5"/>
  <c r="U14" i="5"/>
  <c r="U9" i="5"/>
  <c r="U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Asseri Laitinen</author>
  </authors>
  <commentList>
    <comment ref="C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bruttoneliöt sisältävät käytävät, aulat ym. yleiset tilat</t>
        </r>
      </text>
    </comment>
    <comment ref="K1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Esimerkiksi huoneistojen jakamiset, seinien tiivistämiset, lattiarakenteiden uusimiset ja keittiöiden ja kylpyhuoneiden saneeraukset ovat peruskorjausta.
https://www.stat.fi/keruu/rako/kasitteet.html</t>
        </r>
      </text>
    </comment>
    <comment ref="C2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bruttoneliöt sisältävät käytävät, aulat ym. yleiset tilat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Asseri Laitinen</author>
    <author>Laitinen, Asseri</author>
    <author>Tiina Haaspuro</author>
  </authors>
  <commentList>
    <comment ref="C56" authorId="0" shapeId="0" xr:uid="{1DE24F5C-C8F6-482C-96D0-627426B0D6E7}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Business travel - air (with RF) + WTT - business travel - air (with RF). Domestic. Average passenger.</t>
        </r>
      </text>
    </comment>
    <comment ref="C57" authorId="1" shapeId="0" xr:uid="{84475AC0-C8F7-4BBD-9358-E6E3A67DA662}">
      <text>
        <r>
          <rPr>
            <b/>
            <sz val="9"/>
            <color indexed="81"/>
            <rFont val="Tahoma"/>
            <charset val="1"/>
          </rPr>
          <t>Laitinen, Asseri:</t>
        </r>
        <r>
          <rPr>
            <sz val="9"/>
            <color indexed="81"/>
            <rFont val="Tahoma"/>
            <charset val="1"/>
          </rPr>
          <t xml:space="preserve">
Business travel - air (with RF) + WTT - business travel - air (with RF). Short-haul. Average passenger.</t>
        </r>
      </text>
    </comment>
    <comment ref="C58" authorId="1" shapeId="0" xr:uid="{9C5AF243-9DF5-4644-BBDD-39FB09E5A9DA}">
      <text>
        <r>
          <rPr>
            <b/>
            <sz val="9"/>
            <color indexed="81"/>
            <rFont val="Tahoma"/>
            <charset val="1"/>
          </rPr>
          <t>Laitinen, Asseri:</t>
        </r>
        <r>
          <rPr>
            <sz val="9"/>
            <color indexed="81"/>
            <rFont val="Tahoma"/>
            <charset val="1"/>
          </rPr>
          <t xml:space="preserve">
Keskiarvo (Long haul &amp; International) eli Euroopasta/Eurooppaan &amp; kokonaan Euroopan ulkopuolella</t>
        </r>
      </text>
    </comment>
    <comment ref="C61" authorId="1" shapeId="0" xr:uid="{45EB5A83-D189-462B-BFEB-0D7E764E7B42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Passenger vehicle: Average car
+
WTT pass vehs</t>
        </r>
      </text>
    </comment>
    <comment ref="C62" authorId="1" shapeId="0" xr:uid="{E0976C21-14BE-45B1-ABEF-FCCAE17FDF7D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Passenger vehicle: Average car
+
WTT pass vehs</t>
        </r>
      </text>
    </comment>
    <comment ref="C63" authorId="1" shapeId="0" xr:uid="{32007BCC-9736-4C70-ACDA-7107C5DE3187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Maakaasun elinkaaripäästöt (Suomen Ilmastopaneeli 2021) 2,75 + 0,977 kgCO2e/kgCH4, kulutus 4,5 kg/100 km.</t>
        </r>
      </text>
    </comment>
    <comment ref="C64" authorId="1" shapeId="0" xr:uid="{695F8CC9-B4D3-4141-A8AE-CC27BDBB5435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Biokaasun elinkaaripäästöt (Suomen Ilmastopaneeli 2021) 0,950 kgCO2e/kgCH4, kulutus 4,5 kg/100 km.
"Biokaasun elinkaariset päästöt vaihtelevat suuresti raaka-aineen lähteestä ja prosessitekniikasta riippuen. Gasumilta saatujen tietojen mukaan heidän myymänsä biokaasun elinkaariset päästöt ovat tällä hetkellä 19 g CO2-ekv./MJ (Nevalainen 2019). Tämä merkitsee 0,95 kg CO 2-ekv. /kg, jota on käytetty laskurin oletuspäästökertoimena biokaasulle."</t>
        </r>
      </text>
    </comment>
    <comment ref="C65" authorId="1" shapeId="0" xr:uid="{3B3C7361-23CA-4515-AE71-626A0C8F9633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Passenger vehicle: Average car
+
WTT pass vehs</t>
        </r>
      </text>
    </comment>
    <comment ref="C66" authorId="1" shapeId="0" xr:uid="{FB57492A-AF7D-485D-878E-80A7A7062C18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Autokalkulaattori: 17 kWh/100 km * X gCO2e/kWh (sähkön keskim. päästökerroin Suomessa)</t>
        </r>
      </text>
    </comment>
    <comment ref="C67" authorId="1" shapeId="0" xr:uid="{F0AA34EB-9DF1-4017-8134-D684B10533FC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Passenger vehicle: Average car
+
WTT pass vehs</t>
        </r>
      </text>
    </comment>
    <comment ref="C68" authorId="1" shapeId="0" xr:uid="{E77A6262-190E-419B-AAA7-870CD25F7664}">
      <text>
        <r>
          <rPr>
            <b/>
            <sz val="9"/>
            <color indexed="81"/>
            <rFont val="Tahoma"/>
            <family val="2"/>
          </rPr>
          <t>Laitinen, Asseri:</t>
        </r>
        <r>
          <rPr>
            <sz val="9"/>
            <color indexed="81"/>
            <rFont val="Tahoma"/>
            <family val="2"/>
          </rPr>
          <t xml:space="preserve">
Passenger vehicle: Average car
+
WTT pass vehs</t>
        </r>
      </text>
    </comment>
    <comment ref="B84" authorId="2" shapeId="0" xr:uid="{00000000-0006-0000-0500-000009000000}">
      <text>
        <r>
          <rPr>
            <sz val="9"/>
            <color indexed="81"/>
            <rFont val="Tahoma"/>
            <family val="2"/>
          </rPr>
          <t>VR:n junat kulkevat pääosin vesivoimalla. Kompensoi loput päästönsä, minkä takia kotimaan junakilometrejä ei oteta laskennassa huomioon.</t>
        </r>
      </text>
    </comment>
  </commentList>
</comments>
</file>

<file path=xl/sharedStrings.xml><?xml version="1.0" encoding="utf-8"?>
<sst xmlns="http://schemas.openxmlformats.org/spreadsheetml/2006/main" count="532" uniqueCount="312">
  <si>
    <r>
      <rPr>
        <b/>
        <sz val="11"/>
        <color theme="1"/>
        <rFont val="Calibri"/>
        <family val="2"/>
        <scheme val="minor"/>
      </rPr>
      <t>Tervetuloa</t>
    </r>
    <r>
      <rPr>
        <sz val="11"/>
        <color theme="1"/>
        <rFont val="Calibri"/>
        <family val="2"/>
        <scheme val="minor"/>
      </rPr>
      <t xml:space="preserve"> käyttämään Arenen hiilijalanjälkilaskuria.</t>
    </r>
  </si>
  <si>
    <t>* Kiinteistöt</t>
  </si>
  <si>
    <t>* Matkustaminen</t>
  </si>
  <si>
    <t>Matkustaminen</t>
  </si>
  <si>
    <t>Lennot</t>
  </si>
  <si>
    <t>Yhteensä:</t>
  </si>
  <si>
    <t>Henkilöautoliikenne matkalaskuilla</t>
  </si>
  <si>
    <t>Yhteensä</t>
  </si>
  <si>
    <t>AMKin omilla autoilla ajetut matkat</t>
  </si>
  <si>
    <t>Joukkoliikenne</t>
  </si>
  <si>
    <t>Vuokrabussi</t>
  </si>
  <si>
    <t>Laivaliikenne</t>
  </si>
  <si>
    <t>€/vrk</t>
  </si>
  <si>
    <t xml:space="preserve">YHTEENSÄ </t>
  </si>
  <si>
    <t>Jokaiselle kiinteistölle oma rivi. Lisää rivejä tarpeen mukaan.</t>
  </si>
  <si>
    <t>Kiinteistötunnus</t>
  </si>
  <si>
    <t>Kiinteistö</t>
  </si>
  <si>
    <t>Matkustamisen päästöt</t>
  </si>
  <si>
    <t>Laskennassa käytettävät päästökertoimet</t>
  </si>
  <si>
    <t>Lähteet</t>
  </si>
  <si>
    <t>Tarkat lähdeviitteet löydät tämän sivun alaosasta.</t>
  </si>
  <si>
    <t>Ostosähkö</t>
  </si>
  <si>
    <t>Mälkki ym. 1999</t>
  </si>
  <si>
    <t>Kaukolämpö</t>
  </si>
  <si>
    <t>Sähkölämmitys</t>
  </si>
  <si>
    <t>Sähköjäähdytys</t>
  </si>
  <si>
    <t>Henkilöautoliikenne</t>
  </si>
  <si>
    <t>Bussi (kaukoliikenne) km:t</t>
  </si>
  <si>
    <t>Juna (kaukoliikenne) km:t</t>
  </si>
  <si>
    <t>Hotelliyöpymiset</t>
  </si>
  <si>
    <t>Lähdeviitteet:</t>
  </si>
  <si>
    <t>Mälkki H., Hongisto M., Turkulainen T., Kuisma J. &amp; Loikkanen T. 1999. Vihreän energian kriteerit ja elinkaariarviointi energiatuotteiden ympäristökilpailukyvyn arvioinnissa. Espoo: VTT</t>
  </si>
  <si>
    <t>Heljo J. &amp; Laine H. 2005. Sähkölämmitys ja lämpöpumput sähkönkäyttäjinä ja päästöjen aiheuttajina Suomessa. Näkökulma ja malli sähkönkäytön aiheuttamien CO2-ekv päästöjen arviointia varten. Tampereen teknillinen yliopisto. Rakentamistalouden laitos, Tampere.</t>
  </si>
  <si>
    <t>[Amkin nimi tähän]</t>
  </si>
  <si>
    <t>Päästöt tCO2</t>
  </si>
  <si>
    <t>Keskim. suomalainen sähkö</t>
  </si>
  <si>
    <t>Keskim. suomalainen kaukolämpö</t>
  </si>
  <si>
    <t>Jäähdytys</t>
  </si>
  <si>
    <t>Jäähdytysmuoto</t>
  </si>
  <si>
    <t>Päästötön/vihreä sähkö</t>
  </si>
  <si>
    <t>Päästötön/vihreä kaukolämpö</t>
  </si>
  <si>
    <t>Lämmitysmuoto</t>
  </si>
  <si>
    <t>Sähkönkäyttömuoto</t>
  </si>
  <si>
    <t>muokattavat solut</t>
  </si>
  <si>
    <t>AMK:n PÄÄSTÖT YHTEENSÄ</t>
  </si>
  <si>
    <t>tCO2e</t>
  </si>
  <si>
    <t>Liikematkustamisen päästöt yhteensä:</t>
  </si>
  <si>
    <t>Nimi</t>
  </si>
  <si>
    <t>Tunnus</t>
  </si>
  <si>
    <t>Pinta-ala</t>
  </si>
  <si>
    <t>Lämmitys</t>
  </si>
  <si>
    <t>Sähkönkulutus</t>
  </si>
  <si>
    <t>Vesi</t>
  </si>
  <si>
    <t>Jätehuolto</t>
  </si>
  <si>
    <t>Uudisrakentaminen</t>
  </si>
  <si>
    <t>Kulutus</t>
  </si>
  <si>
    <t>Päästökerroin</t>
  </si>
  <si>
    <t>Päästöt</t>
  </si>
  <si>
    <t>Neliöpäästö</t>
  </si>
  <si>
    <t>Kustannukset</t>
  </si>
  <si>
    <t>MWh</t>
  </si>
  <si>
    <r>
      <t>kgCO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(2)</t>
    </r>
  </si>
  <si>
    <r>
      <t>kgCO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e/MWh (1)</t>
    </r>
  </si>
  <si>
    <r>
      <t>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</t>
    </r>
  </si>
  <si>
    <t>€</t>
  </si>
  <si>
    <t>tCO2</t>
  </si>
  <si>
    <t xml:space="preserve">tCO2 </t>
  </si>
  <si>
    <t>Kaikki kiinteistöt</t>
  </si>
  <si>
    <r>
      <t>kgCO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e/brm</t>
    </r>
    <r>
      <rPr>
        <vertAlign val="superscript"/>
        <sz val="11"/>
        <color rgb="FF000000"/>
        <rFont val="Calibri"/>
        <family val="2"/>
        <scheme val="minor"/>
      </rPr>
      <t>2</t>
    </r>
  </si>
  <si>
    <r>
      <t>Pinta-ala brm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</si>
  <si>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t>KIINTEISTÖT</t>
  </si>
  <si>
    <t>MATKUSTAMINEN</t>
  </si>
  <si>
    <t>hkm = henkilökilometrit; km = ajoneuvokilometrit</t>
  </si>
  <si>
    <t>HANKINNAT</t>
  </si>
  <si>
    <t>Ruoka- ja kahvitarjoilut</t>
  </si>
  <si>
    <t xml:space="preserve">Telepalvelut </t>
  </si>
  <si>
    <t>Lähinnä puhelin- ja tietoliikennekuluja</t>
  </si>
  <si>
    <t>Muut hankinnat</t>
  </si>
  <si>
    <t>Bussi (ulkomaat) €</t>
  </si>
  <si>
    <t>Juna (ulkomaat) €</t>
  </si>
  <si>
    <r>
      <t>hotelliyön päästö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e/yö</t>
    </r>
  </si>
  <si>
    <t>Hotelliyön päästöt/yö tiedossa</t>
  </si>
  <si>
    <t>Hotelliyön päästöt europerusteisesti</t>
  </si>
  <si>
    <t>* Hankinnat</t>
  </si>
  <si>
    <t>AMK:n lyhenne_laskentavuosi_laskentapäivämäärä_Hiilijalanjälki</t>
  </si>
  <si>
    <t xml:space="preserve">asseri.laitinen@vamk.fi </t>
  </si>
  <si>
    <t>JYU:n hiilijalanjäkilaskennan hankintojen keskiarvo</t>
  </si>
  <si>
    <t>VR 2021. Junaillaan yhdessä ilmasto raiteilleen. https://ilmastoraiteilleen.vr.fi/</t>
  </si>
  <si>
    <t>VR 2021</t>
  </si>
  <si>
    <t>Taksimatkat (koti- ja ulkomaat) €</t>
  </si>
  <si>
    <t>Ajetut km:t (p.aine ei tiedossa)</t>
  </si>
  <si>
    <t>Taksi (koti- ja ulkomaat)</t>
  </si>
  <si>
    <r>
      <t>brm</t>
    </r>
    <r>
      <rPr>
        <vertAlign val="superscript"/>
        <sz val="11"/>
        <color rgb="FF000000"/>
        <rFont val="Calibri"/>
        <family val="2"/>
        <scheme val="minor"/>
      </rPr>
      <t xml:space="preserve">2 </t>
    </r>
    <r>
      <rPr>
        <sz val="11"/>
        <color rgb="FF000000"/>
        <rFont val="Calibri"/>
        <family val="2"/>
        <scheme val="minor"/>
      </rPr>
      <t>(bruttoneliöt)</t>
    </r>
  </si>
  <si>
    <t>Paikallisliikenne (bussi, juna) €</t>
  </si>
  <si>
    <t>hkm (henkilökilometriä)</t>
  </si>
  <si>
    <t>km (ajoneuvokilometriä)</t>
  </si>
  <si>
    <t>hkm = henkilökilometriä = esim. 2 AMK:n työntekijää lentää 1000 km lentokoneella = 2 henkilöä * 1000 km = 2000 hkm.</t>
  </si>
  <si>
    <t>Diesel</t>
  </si>
  <si>
    <t>Bensiini</t>
  </si>
  <si>
    <t>Polttoaine ei tiedossa</t>
  </si>
  <si>
    <t>Sähköauto</t>
  </si>
  <si>
    <t>Hybridi</t>
  </si>
  <si>
    <t>Kaasu (maakaasu)</t>
  </si>
  <si>
    <t>Kaasu (biokaasu)</t>
  </si>
  <si>
    <t>Lataushybridi</t>
  </si>
  <si>
    <t xml:space="preserve">Tähän syötetään auton kulkemat kilometrit, ei siis henkilökilometrejä </t>
  </si>
  <si>
    <t xml:space="preserve">https://www.icao.int/environmental-protection/CarbonOffset/Pages/default.aspx </t>
  </si>
  <si>
    <t xml:space="preserve">- Lentomatkojen pituuksia saat laskettua esimerkiksi ICAO:n laskurilla:  </t>
  </si>
  <si>
    <t xml:space="preserve"> Motiva 2021</t>
  </si>
  <si>
    <t>*Nollapäästöistä mm. Helsingissä, Espoossa, Tampereella, Turussa, Porissa</t>
  </si>
  <si>
    <t>Päästötön kaukojäähdytys</t>
  </si>
  <si>
    <t>Fortum 2021. Fortum Kaukokylmä. Saatavilla: https://www.fortum.fi/yrityksille-ja-yhteisoille/lammitys/kaukokylma</t>
  </si>
  <si>
    <t>Porin Energia 2021. Kaukoviilennys. Saatavilla: https://www.porienergia.fi/lampo/kaukoviilennys</t>
  </si>
  <si>
    <t>Turku Energia 2021. Kaukojäähdytyksellä viileää kaukojäähdytysverkon alueelle Saatavilla: https://www.turkuenergia.fi/kaukolampo-ja-jaahdytys/kaukojaahdytys-ekologinen-valinta/</t>
  </si>
  <si>
    <t>Tampereen Sähkölaitos 2021. Näin tuotamme jäähdytystä. https://www.sahkolaitos.fi/yrityksille-ja-taloyhtioille/jaahdytysratkaisut/alkupera/</t>
  </si>
  <si>
    <t>Helen 2021. Energian ominaispäästöt. Verkkosivu. Saatavilla: https://www.helen.fi/yritys/energia/energiantuotanto/sahkon-ja-lammon-ominaispaastot/</t>
  </si>
  <si>
    <t>4, 26-29</t>
  </si>
  <si>
    <t>Suora sähkölämmitys</t>
  </si>
  <si>
    <r>
      <t>m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</si>
  <si>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>Päästö</t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</si>
  <si>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</si>
  <si>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Kiinteistöt</t>
  </si>
  <si>
    <r>
      <t>Keskim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/brm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(5)</t>
    </r>
  </si>
  <si>
    <t>Kiinteistöt - kulutukseen perustuvat päästöt</t>
  </si>
  <si>
    <t>Kiinteistöt - neliöpäästöllä lasketut</t>
  </si>
  <si>
    <t>Kiinteistöjen päästöt</t>
  </si>
  <si>
    <t>Hankintojen päästöt</t>
  </si>
  <si>
    <t>tonnia CO2</t>
  </si>
  <si>
    <t>%</t>
  </si>
  <si>
    <t>Sähkö</t>
  </si>
  <si>
    <t>Vuokrakiinteistöt</t>
  </si>
  <si>
    <t>Vedenkulutus</t>
  </si>
  <si>
    <t>Henkilöautot (kilometrikorvatut liikematkat)</t>
  </si>
  <si>
    <t>Laivamatkat</t>
  </si>
  <si>
    <t>Omat autot</t>
  </si>
  <si>
    <t>Hankinnat</t>
  </si>
  <si>
    <t>Tolvanen 2021</t>
  </si>
  <si>
    <t>Tolvanen, K. 2021. Tampereen korkeakouluyhteisön hiilijalanjälki 2019 – raportti hiililaskentatyöstä. S. 14</t>
  </si>
  <si>
    <t>Keskim. päästökerroin</t>
  </si>
  <si>
    <r>
      <t>kgCO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e/m</t>
    </r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(3)</t>
    </r>
  </si>
  <si>
    <t>rakennus 1</t>
  </si>
  <si>
    <t>rakennus 2</t>
  </si>
  <si>
    <t>rakennus 3</t>
  </si>
  <si>
    <t>rakennus 4</t>
  </si>
  <si>
    <t>rakennus 5</t>
  </si>
  <si>
    <t>rakennus 6</t>
  </si>
  <si>
    <t>001-100</t>
  </si>
  <si>
    <t>002-200</t>
  </si>
  <si>
    <t>003-300</t>
  </si>
  <si>
    <t>004-400</t>
  </si>
  <si>
    <t>005-500</t>
  </si>
  <si>
    <t>006-600</t>
  </si>
  <si>
    <t>Peruskorjaus- ja tilanmuutoshankkeet</t>
  </si>
  <si>
    <t>Ylläpitokorjaukset</t>
  </si>
  <si>
    <t>Käyttö ja huolto</t>
  </si>
  <si>
    <t>Ulkoalueiden hoito</t>
  </si>
  <si>
    <t>Siivous</t>
  </si>
  <si>
    <r>
      <t>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e/€ </t>
    </r>
  </si>
  <si>
    <t>Rakentaminen ja muu kiinteistöhuolto</t>
  </si>
  <si>
    <r>
      <t>kgCO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e/MWh</t>
    </r>
  </si>
  <si>
    <t>kgCO2e/m3</t>
  </si>
  <si>
    <t>Juna (ulkomaat)</t>
  </si>
  <si>
    <t>Bussi (ulkomaat)</t>
  </si>
  <si>
    <t>kgCO2e/hkm</t>
  </si>
  <si>
    <t>kgCO2e/km</t>
  </si>
  <si>
    <t>kgCO2e/€</t>
  </si>
  <si>
    <r>
      <t>tCO</t>
    </r>
    <r>
      <rPr>
        <b/>
        <vertAlign val="sub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e</t>
    </r>
  </si>
  <si>
    <t>Syötä laskentavuoden liikematkustukseen kuluneet matkakilometrit, -kustannukset ja hotelliyöpymisvuorokaudet vihreisiin soluihin.</t>
  </si>
  <si>
    <t>Juna (kaukoliikenne)</t>
  </si>
  <si>
    <t>Seppälä, J. ym. 2021</t>
  </si>
  <si>
    <t>Seppälä J., Munther J., Viri, R., Liimatainen, H., Weaver, S. ja Ollikainen, M. 2021. Suomen Ilmastopaneelin Autokalkulaattori - Ilmastovaikutusten ja kustannusten arviointiin. Käyttöopas ja laskennan perusteet. Suomen Ilmastopaneeli. Saatavilla: https://www.ilmastopaneeli.fi/autokalkulaattori/</t>
  </si>
  <si>
    <t>-</t>
  </si>
  <si>
    <t>*VR:n junat kulkevat pääosin vesivoimalla tuotetulla sähköllä. VR kompensoi loput päästönsä, minkä takia kotimaan junakilometrejä ei oteta laskennassa huomioon.</t>
  </si>
  <si>
    <t>ei lasketa*</t>
  </si>
  <si>
    <t>ei lasketa**</t>
  </si>
  <si>
    <t>rakennus tai rakennuksen tila korjataan yhtä hyväksi kuin se oli uutena</t>
  </si>
  <si>
    <t>kunnostukset</t>
  </si>
  <si>
    <t>SYK 2021</t>
  </si>
  <si>
    <t>SYK 2021. Henkilökohtainen tiedonanto, sähköpostiviesti. 1.4.2021. Ari-Pekka Lassila. Suomen yliopistokiinteistöt.</t>
  </si>
  <si>
    <t>AMK:n yhteyshenkilö:</t>
  </si>
  <si>
    <t>Sähköposti</t>
  </si>
  <si>
    <t>Suorsa M. 2020</t>
  </si>
  <si>
    <t>Sähköautossa käytetään oletuksena keskimääräisen suomalaisen sähkön päästökerrointa</t>
  </si>
  <si>
    <t>Pulmatilanteissa voit ottaa yhteyttä:</t>
  </si>
  <si>
    <t>El Geneidy ym. 2021a</t>
  </si>
  <si>
    <t xml:space="preserve">El Geneidy ym. 2021b </t>
  </si>
  <si>
    <t>El Geneidy, S., Alvarez Franco, D., Baumeister, S., Halme, P., Helimo, U., Kortetmäki, T., Latva-Hakuni, E., Mäkelä, M., Raippalinna, L.-M., Vainio, V., &amp; Kotiaho, J. S. 2021a. Sustainability for JYU: Jyväskylän yliopiston ilmasto- ja luontohaitat. In Wisdom Letters (Vol. 2). http://urn.fi/URN:NBN:fi:jyu-202104232476</t>
  </si>
  <si>
    <t>El Geneidy, S., Alvarez Franco, D., Baumeister, S., Halme, P., Helimo, U., Kortetmäki, T., Latva-Hakuni, E., Mäkelä, M., Raippalinna, L.-M., Vainio, V., &amp; Kotiaho, J. S. 2021b. Sustainability for JYU: Jyväskylän yliopiston ilmasto- ja luontohaitat. In Wisdom Letters (Vol. 2). http://urn.fi/URN:NBN:fi:jyu-202104232476</t>
  </si>
  <si>
    <t>Aseta sarakkeeseen D energiayhtiön päästökerroin, jolloin laskuri laskee päästökertoimen sarakkeeseen C huomioiden polttoaineketjun päästöt</t>
  </si>
  <si>
    <t>Rak1_Energiayhtiön ilmoittama päästökerroin = määritä Kertoimet-välilehdellä</t>
  </si>
  <si>
    <t>Rak2_Energiayhtiön ilmoittama päästökerroin = määritä Kertoimet-välilehdellä</t>
  </si>
  <si>
    <t>Rak3_Energiayhtiön ilmoittama päästökerroin = määritä Kertoimet-välilehdellä</t>
  </si>
  <si>
    <t>Rak4_Energiayhtiön ilmoittama päästökerroin = määritä Kertoimet-välilehdellä</t>
  </si>
  <si>
    <t>Rak5_Energiayhtiön ilmoittama päästökerroin = määritä Kertoimet-välilehdellä</t>
  </si>
  <si>
    <t>Rak6_Energiayhtiön ilmoittama päästökerroin = määritä Kertoimet-välilehdellä</t>
  </si>
  <si>
    <t>* Selvitä omalta verkkoyhtiöltäsi päästökerroin. Merkitse lähde tähän!</t>
  </si>
  <si>
    <t>Rak1_Muu kaukojäähdytys = määritä päästökerroin Kertoimet-välilehdellä</t>
  </si>
  <si>
    <t>Rak2_Muu kaukojäähdytys = määritä päästökerroin Kertoimet-välilehdellä</t>
  </si>
  <si>
    <t>Rak3_Muu kaukojäähdytys = määritä päästökerroin Kertoimet-välilehdellä</t>
  </si>
  <si>
    <t>Rak4_Muu kaukojäähdytys = määritä päästökerroin Kertoimet-välilehdellä</t>
  </si>
  <si>
    <t>Rak5_Muu kaukojäähdytys = määritä päästökerroin Kertoimet-välilehdellä</t>
  </si>
  <si>
    <t>Rak6_Muu kaukojäähdytys = määritä päästökerroin Kertoimet-välilehdellä</t>
  </si>
  <si>
    <t>Sisältää myös investoinnit hankintahintaan ja leasing-maksut</t>
  </si>
  <si>
    <t>Kaikki IT-laitteiden (laaja käsite; sisältää mm. älypuhelimet) ja AV-tarvikkeiden hankinnat; sisältää myös investoinnit ja leasing-maksut</t>
  </si>
  <si>
    <t>Näin AMK:t ovat tasavertaisia: osalla on oma henkilökunta ja osalla ostetaan tukipapalvelut esim. konsernin emolta.</t>
  </si>
  <si>
    <r>
      <t>Neliöpäästöjen keskiarvo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e/brm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</si>
  <si>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Suorsa M. 2020. Turun yliopisto. *Viittaus lähteestä 22 Paikkari 2020: Suorsa M. 2020. Turun yliopiston kestävän kehityksen työ ja hiilijalanjäljen arviointi. Yksityinen sähköpostiviesti 9.3.2020. Yliopiston laskennan esitys sähköpostin liitteenä. Viestin saaja Lyytinen S.; välitetty Paikkari J. </t>
  </si>
  <si>
    <t>Laskurissa täytetään kolme välilehteä</t>
  </si>
  <si>
    <r>
      <rPr>
        <sz val="11"/>
        <color rgb="FFFF3300"/>
        <rFont val="Calibri"/>
        <family val="2"/>
        <scheme val="minor"/>
      </rPr>
      <t xml:space="preserve">HUOM! </t>
    </r>
    <r>
      <rPr>
        <sz val="11"/>
        <color theme="1"/>
        <rFont val="Calibri"/>
        <family val="2"/>
        <scheme val="minor"/>
      </rPr>
      <t>Kiinteistöjen ja matkustamisen hiilijalanjälki lasketaan erikseen,  
joten niihin laskentoihin sisältyviä hankintoja (kuten matkalasku/kilometrikorvauksia) ei sisällytetä tällä välilehdellä enää mukaan.</t>
    </r>
  </si>
  <si>
    <t>Tällöin päästökertoimen lähde tulee ehdottomasti merkitä!</t>
  </si>
  <si>
    <r>
      <t xml:space="preserve">- Laskurin perusteena olevat lähteet on mainittu </t>
    </r>
    <r>
      <rPr>
        <i/>
        <sz val="11"/>
        <color theme="1"/>
        <rFont val="Calibri"/>
        <family val="2"/>
        <scheme val="minor"/>
      </rPr>
      <t>Kertoimet</t>
    </r>
    <r>
      <rPr>
        <sz val="11"/>
        <color theme="1"/>
        <rFont val="Calibri"/>
        <family val="2"/>
        <scheme val="minor"/>
      </rPr>
      <t xml:space="preserve"> sivulla. </t>
    </r>
  </si>
  <si>
    <t>- Laskurin laadinta on tapahtunut Arenen Hiilijalanjäljen laskenta -työryhmässä.</t>
  </si>
  <si>
    <t>Laskennassa ei huomioida kodin ja työpaikan/koulun välisiä matkoja!</t>
  </si>
  <si>
    <t>Ohjeita laskentaan</t>
  </si>
  <si>
    <t>**Paikallisliikenteen päästöjen laskeminen on haastavaa johtuen kilometrikohtaisen datan keruun haasteista. Europerusteinen kerroinkaan ei ole kovin tarkka esim. pääkaupunkiseudun vähäpäästöisen raideliikenteen osalta.</t>
  </si>
  <si>
    <t>Maakaasu</t>
  </si>
  <si>
    <t>Biokaasu</t>
  </si>
  <si>
    <t>€ (euroa)</t>
  </si>
  <si>
    <t>yöpymisiä (vrk)</t>
  </si>
  <si>
    <t>Heljo &amp; Laine 2005. Arvo eroaa tavallisesta sähkönkulutuksesta siinä, että sähkölämmityksen katsotaan kuluttavan pääosin kylmien vuodenaikojen huipputehovoimaloiden korkeamman päästökertoimen energiaa.</t>
  </si>
  <si>
    <t>Kiinteistöjen sähkön ja lämmön päästöihin on lisätty Syken ohjeistuksen ja Ilmastodieetin periaatteiden mukaisesti polttoaineketjun päästöt, n. 20 %.</t>
  </si>
  <si>
    <t>kgCO2e/l</t>
  </si>
  <si>
    <t>Litra- ja kilogrammakohtaiset päästökertoimet</t>
  </si>
  <si>
    <t>kgCO2e/kg</t>
  </si>
  <si>
    <t>Diesel (litraa)</t>
  </si>
  <si>
    <t>Bensiini (litraa)</t>
  </si>
  <si>
    <t>Maakaasu (kg)</t>
  </si>
  <si>
    <t>Biokaasu (kg)</t>
  </si>
  <si>
    <t>Sähkö (kWh)</t>
  </si>
  <si>
    <t>kg, l tai kWh</t>
  </si>
  <si>
    <t>kgCO2e/kWh</t>
  </si>
  <si>
    <t>Tilastokeskus 2021.</t>
  </si>
  <si>
    <t>Tarvittaessa voit vaihtaa hotelliyöpymisten keskimääräisen hinnan (solu C52). Hinta vaikuttaa päästötasoon.</t>
  </si>
  <si>
    <t xml:space="preserve">Sokos Hotels: 31 kgCO2e/huoneyö. https://www.sokoshotels.fi/fi/ajankohtaista/uutinen/sokos-hotellit-antavat-ensimmaisina/015762614_419607 </t>
  </si>
  <si>
    <t>Mikäli organisaatio on yöpynyt hotelleissa, jotka kertovat hotelliyön päästöt (esim. Sokos Hotels tai Greenstar Hotel), voidaan näitä lukuja käyttää rivillä 54. Vähennä tällöin vuosittaisista kokonaisyöpymisistä niiden yöpymisten määrä, joiden päästö/yö on tiedossa.</t>
  </si>
  <si>
    <t>€ (4)</t>
  </si>
  <si>
    <r>
      <t>Kaikki päästöt/koko pinta-ala kgCO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e/brm</t>
    </r>
    <r>
      <rPr>
        <b/>
        <vertAlign val="superscript"/>
        <sz val="11"/>
        <rFont val="Calibri"/>
        <family val="2"/>
        <scheme val="minor"/>
      </rPr>
      <t>2</t>
    </r>
  </si>
  <si>
    <t>Voit tarvittaessa käyttää tätä alempaa lukemaa, jossa kaikki kiinteistöpäästöt on jaettu kaikkien rakennusten yhteispinta-alalla.</t>
  </si>
  <si>
    <r>
      <t xml:space="preserve">Jos rivien 5-11 kategoriat ovat oman AMK:n kohdalla haastavia täyttää, voi hankintojen kustannukset aina laittaa kohtaan </t>
    </r>
    <r>
      <rPr>
        <i/>
        <sz val="11"/>
        <color theme="1"/>
        <rFont val="Calibri"/>
        <family val="2"/>
        <scheme val="minor"/>
      </rPr>
      <t>Muut hankinnat</t>
    </r>
  </si>
  <si>
    <r>
      <t xml:space="preserve">Tilastokeskus 2022. </t>
    </r>
    <r>
      <rPr>
        <sz val="9"/>
        <color theme="1"/>
        <rFont val="Calibri"/>
        <family val="2"/>
        <scheme val="minor"/>
      </rPr>
      <t>Käytetään hyödynjakomenetelmää sähkön ja kaukolämmön päästökertoimien määrityksessä. Vuoden 2021 arvo viimeisin (20.4.2023).</t>
    </r>
  </si>
  <si>
    <t>Tilastokeskus 2022. Energia ja päästöt. Saatavilla: https://pxhopea2.stat.fi/sahkoiset_julkaisut/energia2022/html/suom0011.htm</t>
  </si>
  <si>
    <t>IT-laitteet ja tarvikkeet</t>
  </si>
  <si>
    <t>IT-asiantuntijapalvelut ja ohjelmistot</t>
  </si>
  <si>
    <r>
      <t xml:space="preserve">Muut laitteet ja tarvikkeet </t>
    </r>
    <r>
      <rPr>
        <sz val="9"/>
        <color rgb="FF000000"/>
        <rFont val="Calibri"/>
        <family val="2"/>
      </rPr>
      <t>(pl. IT-laitteet - ja tarvikkeet)</t>
    </r>
  </si>
  <si>
    <t>Kalusteet ja kuljetusvälineet</t>
  </si>
  <si>
    <t>Tähän sisällytetään kaikki muut hankinnat, joita ei ole edellä mainituissa kategorioissa tai muilla välilehdillä olevissa kategorioissa. Vältä tuplalaskentaa.</t>
  </si>
  <si>
    <t>Päästökompensoidut hankinnat ovat usein myyjäyrityksen toimesta kompensoitu ja myydään täten päästöttöminä/hiilineutraaleina.</t>
  </si>
  <si>
    <r>
      <rPr>
        <sz val="11"/>
        <color rgb="FFFF3300"/>
        <rFont val="Calibri"/>
        <family val="2"/>
        <scheme val="minor"/>
      </rPr>
      <t>Investoinneista:</t>
    </r>
    <r>
      <rPr>
        <sz val="11"/>
        <color theme="1"/>
        <rFont val="Calibri"/>
        <family val="2"/>
        <scheme val="minor"/>
      </rPr>
      <t xml:space="preserve"> Mukaan otetaan sekä valmistuneet että keskeneräiset investoinnit; keskeneräiset tulevat valmistumisvuodelle.</t>
    </r>
  </si>
  <si>
    <t>Hankerahoitusta saaneet investoinnit: mukaan otetaan rahoittajan osuus alveineen ja omarahoitusosuus ilman OKM:n alv-kompensaatiota.</t>
  </si>
  <si>
    <t>Kustannukset sekä tuloslaskelmasta että taseesta.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</si>
  <si>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Päästöttömät hankinnat</t>
    </r>
  </si>
  <si>
    <r>
      <rPr>
        <vertAlign val="superscript"/>
        <sz val="11"/>
        <color rgb="FFFF3300"/>
        <rFont val="Calibri"/>
        <family val="2"/>
        <scheme val="minor"/>
      </rPr>
      <t>1</t>
    </r>
    <r>
      <rPr>
        <sz val="11"/>
        <color rgb="FFFF3300"/>
        <rFont val="Calibri"/>
        <family val="2"/>
        <scheme val="minor"/>
      </rPr>
      <t>Päästöttömät hankinnat</t>
    </r>
    <r>
      <rPr>
        <sz val="11"/>
        <color rgb="FF000000"/>
        <rFont val="Calibri"/>
        <family val="2"/>
        <scheme val="minor"/>
      </rPr>
      <t xml:space="preserve"> Yleisesti ottaen hankintojen päästöjä voi vähentää tekemällä hiilineutraaleja/päästöttömiä/kompensoituja hankintoja.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</si>
  <si>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Muut hankinnat</t>
    </r>
  </si>
  <si>
    <r>
      <rPr>
        <vertAlign val="superscript"/>
        <sz val="11"/>
        <color rgb="FFFF3300"/>
        <rFont val="Calibri"/>
        <family val="2"/>
        <scheme val="minor"/>
      </rPr>
      <t>2</t>
    </r>
    <r>
      <rPr>
        <sz val="11"/>
        <color rgb="FFFF3300"/>
        <rFont val="Calibri"/>
        <family val="2"/>
        <scheme val="minor"/>
      </rPr>
      <t xml:space="preserve">Muut hankinnat: </t>
    </r>
    <r>
      <rPr>
        <sz val="11"/>
        <rFont val="Calibri"/>
        <family val="2"/>
        <scheme val="minor"/>
      </rPr>
      <t xml:space="preserve">Kaikki muut hankinnat, </t>
    </r>
    <r>
      <rPr>
        <sz val="11"/>
        <color rgb="FFFF3300"/>
        <rFont val="Calibri"/>
        <family val="2"/>
        <scheme val="minor"/>
      </rPr>
      <t xml:space="preserve">joihin sisältyy hiilipäästöjä. </t>
    </r>
  </si>
  <si>
    <t>Esimerkiksi paperiostot, toimistotarvikkeet ja sellaisten koneiden sekä laitteiden hankinnat, jotka ei ole mukana vielä laskennassa, jne.</t>
  </si>
  <si>
    <t>Vain AMKin maksamat tarjoilut. Tarkennus: ei sisällytetä edustuskuluissa olevia tarjoiluja niiden vaatiman käsityön vuoksi.</t>
  </si>
  <si>
    <t>Myös ohjelmistot</t>
  </si>
  <si>
    <r>
      <t>Ssisältää kaikki muut laitteet, soittimet ja tarvikkeet poislukien IT-laitteet ja tarvikkeet. K</t>
    </r>
    <r>
      <rPr>
        <sz val="9"/>
        <color theme="1"/>
        <rFont val="Calibri"/>
        <family val="2"/>
        <scheme val="minor"/>
      </rPr>
      <t>orvaa aikaisemmat rivit: Laboratoriolaitteet, laboratoriotarvikkeet, laboratoriokemikaalit</t>
    </r>
  </si>
  <si>
    <t>Viestinnän palvelut</t>
  </si>
  <si>
    <t>Opetuspalvelut</t>
  </si>
  <si>
    <t>Työterveyshuolto</t>
  </si>
  <si>
    <t>Vakuutukset</t>
  </si>
  <si>
    <t>Koneiden ja laitteiden huolto ja ylläpito</t>
  </si>
  <si>
    <t>Kuljetus-, rahti ja muuttopalvelut</t>
  </si>
  <si>
    <t>Muut palvelut</t>
  </si>
  <si>
    <r>
      <t xml:space="preserve">Toisille korkeakouluille esim. konsernitilanteissa maksettuja </t>
    </r>
    <r>
      <rPr>
        <sz val="11"/>
        <color rgb="FFFF3300"/>
        <rFont val="Calibri"/>
        <family val="2"/>
        <scheme val="minor"/>
      </rPr>
      <t>palkkoja</t>
    </r>
    <r>
      <rPr>
        <sz val="11"/>
        <rFont val="Calibri"/>
        <family val="2"/>
        <scheme val="minor"/>
      </rPr>
      <t xml:space="preserve"> ei sisällytetä laskentaan palvelujen ostoina.</t>
    </r>
  </si>
  <si>
    <r>
      <rPr>
        <b/>
        <sz val="11"/>
        <color rgb="FFFF3300"/>
        <rFont val="Calibri"/>
        <family val="2"/>
        <scheme val="minor"/>
      </rPr>
      <t>Muut hankinnat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(esimerkkejä)</t>
    </r>
  </si>
  <si>
    <t>Asiantuntijapalvelut (ei IT-asiantuntijapalvelut)</t>
  </si>
  <si>
    <t>Joukkoliikenteen päästöt lasketaan 2022 laskennassa europerusteisina</t>
  </si>
  <si>
    <t>Vuokrabussien päästöt lasketaan 2022 laskennassa europerusteisina</t>
  </si>
  <si>
    <t>Laivamatkojen päästöt lasketaan 2022 laskennassa europerusteisina</t>
  </si>
  <si>
    <t xml:space="preserve">Esim. Greenstar Hotels: 0 kgCO2e/yö. https://www.greenstar.fi/tietoja/vastuullisuus/ </t>
  </si>
  <si>
    <t>Jos ajettujen kilometrien sijaan polttoaineen kulutus on tiedossa (litraa, kg:a, kWh:a), lisää tiedot alle. Vältä tuplalaskentaa.</t>
  </si>
  <si>
    <t>El Geneidy, S., Alvarez Franco, D., Baumeister, S., Halme, P., Helimo, U., Kortetmäki, T., Latva-Hakuni, E., Mäkelä, M., Raippalinna, L.-M., Vainio, V., &amp; Kotiaho, J. S. 2021c. Sustainability for JYU: Jyväskylän yliopiston ilmasto- ja luontohaitat. In Wisdom Letters (Vol. 2). http://urn.fi/URN:NBN:fi:jyu-202104232476</t>
  </si>
  <si>
    <t>El Geneidy ym. 2021c</t>
  </si>
  <si>
    <t>Versio 20.4.2023 Asseri Laitinen</t>
  </si>
  <si>
    <t xml:space="preserve">Arenen hiilijalanjälkilaskenta-työryhmän puheenjohtaja </t>
  </si>
  <si>
    <t>AMKit voivat käyttää myös omia tarkempia kertoimia eri kategorioissa.</t>
  </si>
  <si>
    <r>
      <t xml:space="preserve">esim.: </t>
    </r>
    <r>
      <rPr>
        <i/>
        <sz val="11"/>
        <color theme="1"/>
        <rFont val="Calibri"/>
        <family val="2"/>
        <scheme val="minor"/>
      </rPr>
      <t>VAMK_2022_08062023_Hiilijalanjälki</t>
    </r>
  </si>
  <si>
    <t xml:space="preserve">Nimeä excel seuraavasti ja palauta se Arenen sihteerille Nina Ylöselle </t>
  </si>
  <si>
    <t>nina.ylonen@arene.fi</t>
  </si>
  <si>
    <t>Laskennan ohjeellinen palautuskuukausi on kesäkuu 2023.</t>
  </si>
  <si>
    <r>
      <t>Tulosten tiivistelmä tulee sivulle Y</t>
    </r>
    <r>
      <rPr>
        <i/>
        <sz val="11"/>
        <color theme="1"/>
        <rFont val="Calibri"/>
        <family val="2"/>
        <scheme val="minor"/>
      </rPr>
      <t>hteenveto</t>
    </r>
  </si>
  <si>
    <t>Matkustamisen päästöihin on lisätty polttoaineketjun (well-to-tank) päästöt.</t>
  </si>
  <si>
    <t>Kotimaan lennot</t>
  </si>
  <si>
    <t>Euroopan lennot</t>
  </si>
  <si>
    <t>Kaukolennot</t>
  </si>
  <si>
    <t>DEFRA 2022a</t>
  </si>
  <si>
    <t>DEFRA 2022a. UK Government GHG Conversion Factors for Company Reporting. Business travel - air. https://www.gov.uk/government/publications/greenhouse-gas-reporting-conversion-factors-2022</t>
  </si>
  <si>
    <t>DEFRA 2022b</t>
  </si>
  <si>
    <t>Muut laitteet ja tarvikkeet (pl. IT-laitteet - ja tarvikkeet)</t>
  </si>
  <si>
    <r>
      <t xml:space="preserve">Mikäli saat lentojen hiilipäästöt suoraan matkatoimistosta, voit syöttää lukeman suoraan tälle riville. </t>
    </r>
    <r>
      <rPr>
        <i/>
        <sz val="11"/>
        <rFont val="Calibri"/>
        <family val="2"/>
        <scheme val="minor"/>
      </rPr>
      <t>HUOM! Matkatoimistojen laskureissa ei kuitenkaan usein oteta säteilypakoteindeksiä huomioon. Voit käyttää indeksille kerrointa 1,89 (DEFRA 2022).</t>
    </r>
  </si>
  <si>
    <t>Lentämisen päästöissä on huomioitu säteilypakoteindeksi (RFI) 1,89 (DEFRA 2022).</t>
  </si>
  <si>
    <t>Muu kiinteistöt</t>
  </si>
  <si>
    <t>Matkustamisella tarkoitetaan työhön liittyvää liikematkustamista.</t>
  </si>
  <si>
    <t>Katso ohjeet kertoimiin rivin 29 tekstilaatikosta.</t>
  </si>
  <si>
    <t>Syötä laskentavuoden energian- ja vedenkulutus sekä rakentamis- ja ylläpitokustannukset vihreisiin soluihin.</t>
  </si>
  <si>
    <r>
      <t xml:space="preserve">Kustannukset tilikartasta </t>
    </r>
    <r>
      <rPr>
        <sz val="9"/>
        <color theme="1"/>
        <rFont val="Calibri"/>
        <family val="2"/>
        <scheme val="minor"/>
      </rPr>
      <t>(pl. päästöttömät hankinnat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)</t>
    </r>
  </si>
  <si>
    <t xml:space="preserve">Tässä luvussa korostuvat päästöintensiiviset rakennukset, kuten laboratoriot. </t>
  </si>
  <si>
    <t>Ammatikorkeakoulun hiilijalanjälki</t>
  </si>
  <si>
    <t>Päivämäärä</t>
  </si>
  <si>
    <r>
      <rPr>
        <b/>
        <sz val="11"/>
        <color theme="1"/>
        <rFont val="Calibri"/>
        <family val="2"/>
        <scheme val="minor"/>
      </rPr>
      <t>Lentojen</t>
    </r>
    <r>
      <rPr>
        <sz val="11"/>
        <color theme="1"/>
        <rFont val="Calibri"/>
        <family val="2"/>
        <scheme val="minor"/>
      </rPr>
      <t xml:space="preserve"> päästökertoimet vaihdettu VTT Lipaston 2008 luvuista DEFRAn 2022 lukuihin.</t>
    </r>
  </si>
  <si>
    <r>
      <t xml:space="preserve">Myös </t>
    </r>
    <r>
      <rPr>
        <b/>
        <sz val="11"/>
        <color theme="1"/>
        <rFont val="Calibri"/>
        <family val="2"/>
        <scheme val="minor"/>
      </rPr>
      <t>autoilun</t>
    </r>
    <r>
      <rPr>
        <sz val="11"/>
        <color theme="1"/>
        <rFont val="Calibri"/>
        <family val="2"/>
        <scheme val="minor"/>
      </rPr>
      <t xml:space="preserve"> osalta vaihdettu VTT Lipaston 2016 luvut DEFRAn 2022 lukuihin.</t>
    </r>
  </si>
  <si>
    <r>
      <rPr>
        <b/>
        <sz val="11"/>
        <color theme="1"/>
        <rFont val="Calibri"/>
        <family val="2"/>
        <scheme val="minor"/>
      </rPr>
      <t>Hankinnat</t>
    </r>
    <r>
      <rPr>
        <sz val="11"/>
        <color theme="1"/>
        <rFont val="Calibri"/>
        <family val="2"/>
        <scheme val="minor"/>
      </rPr>
      <t>-välilehdelle lisätty ohjeistusta ja tarkennettu kategorioita.</t>
    </r>
  </si>
  <si>
    <r>
      <rPr>
        <b/>
        <sz val="11"/>
        <color theme="1"/>
        <rFont val="Calibri"/>
        <family val="2"/>
        <scheme val="minor"/>
      </rPr>
      <t>Linja-autot, vuokrabussit ja laivaliikenne</t>
    </r>
    <r>
      <rPr>
        <sz val="11"/>
        <color theme="1"/>
        <rFont val="Calibri"/>
        <family val="2"/>
        <scheme val="minor"/>
      </rPr>
      <t xml:space="preserve"> muutettu europerustaiseksi laskennaksi.</t>
    </r>
  </si>
  <si>
    <r>
      <rPr>
        <b/>
        <sz val="11"/>
        <color theme="1"/>
        <rFont val="Calibri"/>
        <family val="2"/>
        <scheme val="minor"/>
      </rPr>
      <t>Valtakunnalliset sähkön ja kaukolämmön</t>
    </r>
    <r>
      <rPr>
        <sz val="11"/>
        <color theme="1"/>
        <rFont val="Calibri"/>
        <family val="2"/>
        <scheme val="minor"/>
      </rPr>
      <t xml:space="preserve"> kertoimet päivitetty vuodella eteenpäin (2020-&gt;2021).</t>
    </r>
  </si>
  <si>
    <t>Päivitykset 2021 -&gt; 2022</t>
  </si>
  <si>
    <t>hankinnat@oamk.fi</t>
  </si>
  <si>
    <t>Pulmatilanteet lähetetään edelleen työryhmälle käsiteltäväksi.</t>
  </si>
  <si>
    <t xml:space="preserve">Pulmatilanteissa ota yhteyttä: </t>
  </si>
  <si>
    <t>Laskentaan otetaan mukaan ao. hankinnat E-sarakkeen ohjeistusten mukaisesti. Hankinnat, joita ei osata kategorisoida riveille 5-10, lasketaan hankintojen keskimääräisellä päästökertoimella rivillä 11 "Muut hankinnat"</t>
  </si>
  <si>
    <t>hankintojen osalta: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</si>
</sst>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;;;@"/>
    <numFmt numFmtId="165" formatCode="0.0"/>
    <numFmt numFmtId="166" formatCode="0.0\ %"/>
    <numFmt numFmtId="167" formatCode="0.000"/>
    <numFmt numFmtId="168" formatCode="0.0000"/>
  </numFmts>
  <fonts count="5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perscript"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E2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36" fillId="0" borderId="0" applyFont="0" applyFill="0" applyBorder="0" applyAlignment="0" applyProtection="0"/>
  </cellStyleXfs>
  <cellXfs count="271">
    <xf numFmtId="0" fontId="0" fillId="0" borderId="0" xfId="0"/>
    <xf numFmtId="0" fontId="0" fillId="2" borderId="0" xfId="0" applyFill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1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4" borderId="0" xfId="1" applyFill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0" fillId="5" borderId="4" xfId="0" applyFill="1" applyBorder="1" applyProtection="1">
      <protection locked="0"/>
    </xf>
    <xf numFmtId="0" fontId="14" fillId="4" borderId="0" xfId="0" applyFont="1" applyFill="1" applyProtection="1">
      <protection locked="0"/>
    </xf>
    <xf numFmtId="1" fontId="10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3" fillId="4" borderId="0" xfId="0" applyFont="1" applyFill="1" applyProtection="1">
      <protection locked="0"/>
    </xf>
    <xf numFmtId="0" fontId="8" fillId="0" borderId="5" xfId="0" applyFont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6" borderId="7" xfId="0" applyFont="1" applyFill="1" applyBorder="1" applyProtection="1">
      <protection locked="0"/>
    </xf>
    <xf numFmtId="0" fontId="11" fillId="6" borderId="8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" fontId="0" fillId="6" borderId="0" xfId="0" applyNumberForma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8" fillId="6" borderId="0" xfId="0" applyNumberFormat="1" applyFont="1" applyFill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1" fontId="0" fillId="6" borderId="0" xfId="0" applyNumberFormat="1" applyFill="1"/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" fontId="2" fillId="6" borderId="0" xfId="0" applyNumberFormat="1" applyFont="1" applyFill="1"/>
    <xf numFmtId="0" fontId="0" fillId="0" borderId="0" xfId="0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1" fontId="0" fillId="7" borderId="0" xfId="0" applyNumberFormat="1" applyFill="1" applyProtection="1">
      <protection locked="0"/>
    </xf>
    <xf numFmtId="0" fontId="2" fillId="7" borderId="0" xfId="0" applyFont="1" applyFill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9" borderId="0" xfId="0" applyFill="1"/>
    <xf numFmtId="0" fontId="2" fillId="0" borderId="0" xfId="0" applyFont="1"/>
    <xf numFmtId="0" fontId="0" fillId="0" borderId="5" xfId="0" applyBorder="1"/>
    <xf numFmtId="0" fontId="2" fillId="0" borderId="5" xfId="0" applyFont="1" applyBorder="1"/>
    <xf numFmtId="0" fontId="19" fillId="0" borderId="0" xfId="0" applyFont="1"/>
    <xf numFmtId="164" fontId="20" fillId="0" borderId="0" xfId="0" applyNumberFormat="1" applyFont="1" applyAlignment="1" applyProtection="1">
      <alignment horizontal="left"/>
      <protection locked="0"/>
    </xf>
    <xf numFmtId="0" fontId="0" fillId="0" borderId="2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1" fontId="0" fillId="11" borderId="4" xfId="0" applyNumberFormat="1" applyFill="1" applyBorder="1"/>
    <xf numFmtId="165" fontId="2" fillId="8" borderId="4" xfId="0" applyNumberFormat="1" applyFont="1" applyFill="1" applyBorder="1"/>
    <xf numFmtId="0" fontId="2" fillId="0" borderId="0" xfId="0" applyFont="1" applyAlignment="1">
      <alignment wrapText="1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" fontId="0" fillId="0" borderId="14" xfId="0" applyNumberFormat="1" applyBorder="1"/>
    <xf numFmtId="0" fontId="29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0" fontId="30" fillId="0" borderId="0" xfId="0" applyFont="1"/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1" fontId="11" fillId="14" borderId="4" xfId="0" applyNumberFormat="1" applyFont="1" applyFill="1" applyBorder="1"/>
    <xf numFmtId="0" fontId="2" fillId="0" borderId="0" xfId="0" applyFont="1" applyAlignment="1" applyProtection="1">
      <alignment wrapText="1"/>
      <protection locked="0"/>
    </xf>
    <xf numFmtId="1" fontId="11" fillId="5" borderId="4" xfId="0" applyNumberFormat="1" applyFont="1" applyFill="1" applyBorder="1"/>
    <xf numFmtId="0" fontId="23" fillId="0" borderId="0" xfId="0" applyFont="1" applyAlignment="1">
      <alignment vertical="center"/>
    </xf>
    <xf numFmtId="0" fontId="0" fillId="0" borderId="21" xfId="0" applyBorder="1" applyAlignment="1">
      <alignment wrapText="1"/>
    </xf>
    <xf numFmtId="0" fontId="0" fillId="5" borderId="26" xfId="0" applyFill="1" applyBorder="1"/>
    <xf numFmtId="0" fontId="0" fillId="5" borderId="26" xfId="0" applyFill="1" applyBorder="1" applyAlignment="1">
      <alignment wrapText="1"/>
    </xf>
    <xf numFmtId="0" fontId="0" fillId="0" borderId="21" xfId="0" applyBorder="1"/>
    <xf numFmtId="0" fontId="33" fillId="0" borderId="25" xfId="0" applyFont="1" applyBorder="1" applyAlignment="1">
      <alignment vertical="center"/>
    </xf>
    <xf numFmtId="0" fontId="34" fillId="0" borderId="0" xfId="0" applyFont="1" applyProtection="1">
      <protection locked="0"/>
    </xf>
    <xf numFmtId="0" fontId="1" fillId="0" borderId="0" xfId="0" applyFont="1"/>
    <xf numFmtId="165" fontId="2" fillId="4" borderId="0" xfId="0" applyNumberFormat="1" applyFont="1" applyFill="1"/>
    <xf numFmtId="0" fontId="0" fillId="5" borderId="12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" fontId="11" fillId="0" borderId="0" xfId="0" applyNumberFormat="1" applyFont="1"/>
    <xf numFmtId="165" fontId="0" fillId="4" borderId="0" xfId="0" applyNumberFormat="1" applyFill="1" applyProtection="1">
      <protection locked="0"/>
    </xf>
    <xf numFmtId="0" fontId="0" fillId="5" borderId="27" xfId="0" applyFill="1" applyBorder="1" applyProtection="1">
      <protection locked="0"/>
    </xf>
    <xf numFmtId="0" fontId="2" fillId="0" borderId="16" xfId="0" applyFont="1" applyBorder="1" applyProtection="1">
      <protection locked="0"/>
    </xf>
    <xf numFmtId="0" fontId="33" fillId="0" borderId="0" xfId="0" applyFont="1" applyAlignment="1">
      <alignment vertical="center"/>
    </xf>
    <xf numFmtId="0" fontId="13" fillId="4" borderId="0" xfId="0" quotePrefix="1" applyFont="1" applyFill="1" applyAlignment="1" applyProtection="1">
      <alignment vertical="center"/>
      <protection locked="0"/>
    </xf>
    <xf numFmtId="0" fontId="2" fillId="0" borderId="23" xfId="0" applyFont="1" applyBorder="1" applyAlignment="1">
      <alignment wrapText="1"/>
    </xf>
    <xf numFmtId="0" fontId="2" fillId="8" borderId="15" xfId="0" applyFont="1" applyFill="1" applyBorder="1"/>
    <xf numFmtId="0" fontId="35" fillId="0" borderId="0" xfId="0" applyFont="1" applyAlignment="1">
      <alignment wrapText="1"/>
    </xf>
    <xf numFmtId="0" fontId="2" fillId="0" borderId="0" xfId="0" quotePrefix="1" applyFont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0" xfId="0" applyFont="1" applyBorder="1"/>
    <xf numFmtId="0" fontId="2" fillId="0" borderId="30" xfId="0" applyFont="1" applyBorder="1"/>
    <xf numFmtId="0" fontId="0" fillId="2" borderId="6" xfId="0" applyFill="1" applyBorder="1"/>
    <xf numFmtId="0" fontId="2" fillId="10" borderId="18" xfId="0" applyFont="1" applyFill="1" applyBorder="1"/>
    <xf numFmtId="0" fontId="18" fillId="13" borderId="3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1" fontId="2" fillId="6" borderId="0" xfId="0" applyNumberFormat="1" applyFont="1" applyFill="1" applyProtection="1">
      <protection locked="0"/>
    </xf>
    <xf numFmtId="0" fontId="2" fillId="0" borderId="21" xfId="0" applyFont="1" applyBorder="1" applyAlignment="1">
      <alignment wrapText="1"/>
    </xf>
    <xf numFmtId="0" fontId="0" fillId="5" borderId="0" xfId="0" applyFill="1"/>
    <xf numFmtId="0" fontId="0" fillId="5" borderId="21" xfId="0" applyFill="1" applyBorder="1" applyAlignment="1">
      <alignment vertical="center" wrapText="1"/>
    </xf>
    <xf numFmtId="0" fontId="22" fillId="5" borderId="0" xfId="0" applyFont="1" applyFill="1"/>
    <xf numFmtId="0" fontId="0" fillId="5" borderId="21" xfId="0" applyFill="1" applyBorder="1"/>
    <xf numFmtId="1" fontId="0" fillId="16" borderId="0" xfId="0" applyNumberFormat="1" applyFill="1"/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5" borderId="34" xfId="0" applyFill="1" applyBorder="1" applyAlignment="1">
      <alignment vertical="center" wrapText="1"/>
    </xf>
    <xf numFmtId="0" fontId="0" fillId="5" borderId="28" xfId="0" applyFill="1" applyBorder="1"/>
    <xf numFmtId="0" fontId="13" fillId="0" borderId="24" xfId="0" applyFont="1" applyBorder="1" applyAlignment="1">
      <alignment horizontal="center" vertical="center" wrapText="1"/>
    </xf>
    <xf numFmtId="0" fontId="13" fillId="16" borderId="0" xfId="0" applyFont="1" applyFill="1"/>
    <xf numFmtId="0" fontId="4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8" fillId="18" borderId="9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vertical="center" wrapText="1"/>
    </xf>
    <xf numFmtId="0" fontId="18" fillId="18" borderId="11" xfId="0" applyFont="1" applyFill="1" applyBorder="1" applyAlignment="1">
      <alignment horizontal="center" vertical="center" wrapText="1"/>
    </xf>
    <xf numFmtId="165" fontId="2" fillId="8" borderId="35" xfId="0" applyNumberFormat="1" applyFont="1" applyFill="1" applyBorder="1"/>
    <xf numFmtId="165" fontId="2" fillId="8" borderId="32" xfId="0" applyNumberFormat="1" applyFont="1" applyFill="1" applyBorder="1"/>
    <xf numFmtId="165" fontId="0" fillId="8" borderId="19" xfId="0" applyNumberFormat="1" applyFill="1" applyBorder="1"/>
    <xf numFmtId="165" fontId="0" fillId="8" borderId="27" xfId="0" applyNumberFormat="1" applyFill="1" applyBorder="1"/>
    <xf numFmtId="0" fontId="2" fillId="9" borderId="16" xfId="0" applyFont="1" applyFill="1" applyBorder="1"/>
    <xf numFmtId="0" fontId="0" fillId="9" borderId="16" xfId="0" applyFill="1" applyBorder="1"/>
    <xf numFmtId="0" fontId="2" fillId="9" borderId="24" xfId="0" applyFont="1" applyFill="1" applyBorder="1"/>
    <xf numFmtId="0" fontId="0" fillId="9" borderId="24" xfId="0" applyFill="1" applyBorder="1"/>
    <xf numFmtId="0" fontId="2" fillId="9" borderId="5" xfId="0" applyFont="1" applyFill="1" applyBorder="1"/>
    <xf numFmtId="0" fontId="0" fillId="9" borderId="5" xfId="0" applyFill="1" applyBorder="1"/>
    <xf numFmtId="165" fontId="2" fillId="9" borderId="0" xfId="0" applyNumberFormat="1" applyFont="1" applyFill="1"/>
    <xf numFmtId="165" fontId="2" fillId="9" borderId="16" xfId="0" applyNumberFormat="1" applyFont="1" applyFill="1" applyBorder="1"/>
    <xf numFmtId="165" fontId="2" fillId="9" borderId="24" xfId="0" applyNumberFormat="1" applyFont="1" applyFill="1" applyBorder="1"/>
    <xf numFmtId="0" fontId="37" fillId="0" borderId="13" xfId="0" applyFont="1" applyBorder="1"/>
    <xf numFmtId="0" fontId="37" fillId="0" borderId="5" xfId="0" applyFont="1" applyBorder="1"/>
    <xf numFmtId="0" fontId="38" fillId="0" borderId="5" xfId="0" applyFont="1" applyBorder="1" applyAlignment="1">
      <alignment horizontal="right"/>
    </xf>
    <xf numFmtId="0" fontId="37" fillId="0" borderId="14" xfId="0" applyFont="1" applyBorder="1" applyAlignment="1">
      <alignment wrapText="1"/>
    </xf>
    <xf numFmtId="165" fontId="38" fillId="0" borderId="0" xfId="0" applyNumberFormat="1" applyFont="1"/>
    <xf numFmtId="166" fontId="38" fillId="0" borderId="0" xfId="2" applyNumberFormat="1" applyFont="1"/>
    <xf numFmtId="1" fontId="38" fillId="0" borderId="0" xfId="0" applyNumberFormat="1" applyFont="1"/>
    <xf numFmtId="2" fontId="38" fillId="0" borderId="0" xfId="0" applyNumberFormat="1" applyFont="1"/>
    <xf numFmtId="0" fontId="37" fillId="0" borderId="13" xfId="0" applyFont="1" applyBorder="1" applyAlignment="1">
      <alignment wrapText="1"/>
    </xf>
    <xf numFmtId="165" fontId="38" fillId="0" borderId="5" xfId="0" applyNumberFormat="1" applyFont="1" applyBorder="1"/>
    <xf numFmtId="166" fontId="38" fillId="0" borderId="5" xfId="2" applyNumberFormat="1" applyFont="1" applyBorder="1"/>
    <xf numFmtId="0" fontId="37" fillId="0" borderId="14" xfId="0" applyFont="1" applyBorder="1"/>
    <xf numFmtId="9" fontId="38" fillId="0" borderId="0" xfId="2" applyFont="1"/>
    <xf numFmtId="0" fontId="37" fillId="0" borderId="0" xfId="0" applyFont="1" applyAlignment="1">
      <alignment wrapText="1"/>
    </xf>
    <xf numFmtId="1" fontId="0" fillId="0" borderId="0" xfId="0" applyNumberFormat="1"/>
    <xf numFmtId="0" fontId="2" fillId="0" borderId="24" xfId="0" applyFont="1" applyBorder="1"/>
    <xf numFmtId="0" fontId="2" fillId="0" borderId="24" xfId="0" applyFont="1" applyBorder="1" applyAlignment="1">
      <alignment wrapText="1"/>
    </xf>
    <xf numFmtId="0" fontId="2" fillId="0" borderId="31" xfId="0" applyFont="1" applyBorder="1"/>
    <xf numFmtId="0" fontId="2" fillId="0" borderId="33" xfId="0" applyFont="1" applyBorder="1"/>
    <xf numFmtId="0" fontId="8" fillId="0" borderId="5" xfId="0" applyFont="1" applyBorder="1" applyAlignment="1">
      <alignment wrapText="1"/>
    </xf>
    <xf numFmtId="0" fontId="22" fillId="5" borderId="0" xfId="0" applyFont="1" applyFill="1" applyAlignment="1">
      <alignment vertical="center"/>
    </xf>
    <xf numFmtId="0" fontId="0" fillId="5" borderId="5" xfId="0" applyFill="1" applyBorder="1"/>
    <xf numFmtId="0" fontId="2" fillId="0" borderId="31" xfId="0" applyFont="1" applyBorder="1" applyAlignment="1">
      <alignment wrapText="1"/>
    </xf>
    <xf numFmtId="2" fontId="0" fillId="6" borderId="0" xfId="0" applyNumberFormat="1" applyFill="1" applyProtection="1">
      <protection locked="0"/>
    </xf>
    <xf numFmtId="167" fontId="0" fillId="6" borderId="0" xfId="0" applyNumberFormat="1" applyFill="1" applyProtection="1">
      <protection locked="0"/>
    </xf>
    <xf numFmtId="168" fontId="0" fillId="6" borderId="0" xfId="0" applyNumberFormat="1" applyFill="1" applyProtection="1">
      <protection locked="0"/>
    </xf>
    <xf numFmtId="165" fontId="0" fillId="0" borderId="0" xfId="0" applyNumberFormat="1"/>
    <xf numFmtId="0" fontId="13" fillId="0" borderId="29" xfId="0" applyFont="1" applyBorder="1" applyProtection="1">
      <protection locked="0"/>
    </xf>
    <xf numFmtId="167" fontId="33" fillId="6" borderId="0" xfId="0" applyNumberFormat="1" applyFont="1" applyFill="1" applyAlignment="1">
      <alignment horizontal="right" vertical="center"/>
    </xf>
    <xf numFmtId="167" fontId="0" fillId="6" borderId="0" xfId="0" applyNumberFormat="1" applyFill="1"/>
    <xf numFmtId="0" fontId="29" fillId="5" borderId="0" xfId="0" applyFont="1" applyFill="1" applyAlignment="1">
      <alignment wrapText="1"/>
    </xf>
    <xf numFmtId="167" fontId="13" fillId="6" borderId="0" xfId="0" applyNumberFormat="1" applyFont="1" applyFill="1"/>
    <xf numFmtId="167" fontId="8" fillId="6" borderId="0" xfId="0" applyNumberFormat="1" applyFont="1" applyFill="1"/>
    <xf numFmtId="167" fontId="0" fillId="6" borderId="4" xfId="0" applyNumberFormat="1" applyFill="1" applyBorder="1"/>
    <xf numFmtId="167" fontId="11" fillId="8" borderId="4" xfId="0" applyNumberFormat="1" applyFont="1" applyFill="1" applyBorder="1"/>
    <xf numFmtId="167" fontId="0" fillId="6" borderId="27" xfId="0" applyNumberFormat="1" applyFill="1" applyBorder="1"/>
    <xf numFmtId="167" fontId="2" fillId="8" borderId="4" xfId="0" applyNumberFormat="1" applyFont="1" applyFill="1" applyBorder="1"/>
    <xf numFmtId="167" fontId="11" fillId="6" borderId="6" xfId="0" applyNumberFormat="1" applyFont="1" applyFill="1" applyBorder="1"/>
    <xf numFmtId="167" fontId="11" fillId="9" borderId="6" xfId="0" applyNumberFormat="1" applyFont="1" applyFill="1" applyBorder="1"/>
    <xf numFmtId="165" fontId="15" fillId="6" borderId="8" xfId="0" applyNumberFormat="1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167" fontId="13" fillId="15" borderId="4" xfId="0" applyNumberFormat="1" applyFont="1" applyFill="1" applyBorder="1"/>
    <xf numFmtId="167" fontId="0" fillId="15" borderId="4" xfId="0" applyNumberFormat="1" applyFill="1" applyBorder="1" applyProtection="1">
      <protection locked="0"/>
    </xf>
    <xf numFmtId="0" fontId="42" fillId="0" borderId="24" xfId="0" applyFont="1" applyBorder="1" applyAlignment="1">
      <alignment wrapText="1"/>
    </xf>
    <xf numFmtId="0" fontId="42" fillId="0" borderId="24" xfId="0" applyFont="1" applyBorder="1"/>
    <xf numFmtId="0" fontId="6" fillId="5" borderId="0" xfId="0" applyFont="1" applyFill="1"/>
    <xf numFmtId="0" fontId="0" fillId="5" borderId="2" xfId="0" applyFill="1" applyBorder="1" applyProtection="1">
      <protection locked="0"/>
    </xf>
    <xf numFmtId="1" fontId="0" fillId="5" borderId="0" xfId="0" applyNumberFormat="1" applyFill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0" fontId="0" fillId="19" borderId="36" xfId="0" applyFill="1" applyBorder="1"/>
    <xf numFmtId="0" fontId="0" fillId="19" borderId="37" xfId="0" applyFill="1" applyBorder="1"/>
    <xf numFmtId="0" fontId="29" fillId="19" borderId="37" xfId="0" applyFont="1" applyFill="1" applyBorder="1"/>
    <xf numFmtId="0" fontId="0" fillId="19" borderId="38" xfId="0" applyFill="1" applyBorder="1"/>
    <xf numFmtId="0" fontId="0" fillId="19" borderId="39" xfId="0" applyFill="1" applyBorder="1"/>
    <xf numFmtId="0" fontId="0" fillId="19" borderId="0" xfId="0" applyFill="1"/>
    <xf numFmtId="0" fontId="29" fillId="19" borderId="0" xfId="0" applyFont="1" applyFill="1"/>
    <xf numFmtId="0" fontId="0" fillId="19" borderId="40" xfId="0" applyFill="1" applyBorder="1"/>
    <xf numFmtId="0" fontId="0" fillId="19" borderId="41" xfId="0" applyFill="1" applyBorder="1"/>
    <xf numFmtId="0" fontId="0" fillId="19" borderId="42" xfId="0" applyFill="1" applyBorder="1"/>
    <xf numFmtId="0" fontId="29" fillId="19" borderId="42" xfId="0" applyFont="1" applyFill="1" applyBorder="1"/>
    <xf numFmtId="0" fontId="0" fillId="19" borderId="43" xfId="0" applyFill="1" applyBorder="1"/>
    <xf numFmtId="0" fontId="0" fillId="0" borderId="0" xfId="0" applyAlignment="1">
      <alignment horizontal="left"/>
    </xf>
    <xf numFmtId="0" fontId="0" fillId="5" borderId="0" xfId="0" applyFill="1" applyAlignment="1" applyProtection="1">
      <alignment horizontal="right"/>
      <protection locked="0"/>
    </xf>
    <xf numFmtId="0" fontId="13" fillId="0" borderId="0" xfId="0" applyFont="1"/>
    <xf numFmtId="0" fontId="2" fillId="2" borderId="4" xfId="0" applyFont="1" applyFill="1" applyBorder="1" applyAlignment="1">
      <alignment vertical="top" wrapText="1"/>
    </xf>
    <xf numFmtId="0" fontId="3" fillId="5" borderId="0" xfId="1" applyFill="1" applyProtection="1">
      <protection locked="0"/>
    </xf>
    <xf numFmtId="0" fontId="44" fillId="0" borderId="0" xfId="0" applyFont="1" applyAlignment="1">
      <alignment horizontal="left" vertical="center"/>
    </xf>
    <xf numFmtId="0" fontId="0" fillId="2" borderId="26" xfId="0" applyFill="1" applyBorder="1"/>
    <xf numFmtId="0" fontId="0" fillId="2" borderId="26" xfId="0" applyFill="1" applyBorder="1" applyAlignment="1">
      <alignment wrapText="1"/>
    </xf>
    <xf numFmtId="0" fontId="4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9" borderId="0" xfId="0" quotePrefix="1" applyFill="1"/>
    <xf numFmtId="0" fontId="47" fillId="4" borderId="0" xfId="0" applyFont="1" applyFill="1" applyProtection="1">
      <protection locked="0"/>
    </xf>
    <xf numFmtId="0" fontId="22" fillId="11" borderId="0" xfId="0" applyFont="1" applyFill="1" applyProtection="1">
      <protection locked="0"/>
    </xf>
    <xf numFmtId="0" fontId="29" fillId="0" borderId="0" xfId="0" applyFont="1" applyAlignment="1" applyProtection="1">
      <alignment horizontal="right" wrapText="1"/>
      <protection locked="0"/>
    </xf>
    <xf numFmtId="0" fontId="18" fillId="0" borderId="31" xfId="0" quotePrefix="1" applyFont="1" applyBorder="1" applyAlignment="1">
      <alignment horizontal="center" vertical="center" wrapText="1"/>
    </xf>
    <xf numFmtId="0" fontId="13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13" fillId="0" borderId="0" xfId="0" applyFont="1" applyAlignment="1">
      <alignment vertical="center"/>
    </xf>
    <xf numFmtId="0" fontId="2" fillId="9" borderId="44" xfId="0" applyFont="1" applyFill="1" applyBorder="1"/>
    <xf numFmtId="0" fontId="2" fillId="8" borderId="45" xfId="0" applyFont="1" applyFill="1" applyBorder="1"/>
    <xf numFmtId="0" fontId="0" fillId="0" borderId="24" xfId="0" applyBorder="1"/>
    <xf numFmtId="0" fontId="44" fillId="0" borderId="24" xfId="0" applyFont="1" applyBorder="1" applyAlignment="1">
      <alignment horizontal="left" vertical="center"/>
    </xf>
    <xf numFmtId="0" fontId="0" fillId="0" borderId="31" xfId="0" applyBorder="1"/>
    <xf numFmtId="0" fontId="2" fillId="0" borderId="0" xfId="0" applyFont="1" applyAlignment="1" applyProtection="1">
      <alignment horizontal="right"/>
      <protection locked="0"/>
    </xf>
    <xf numFmtId="0" fontId="33" fillId="0" borderId="25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 wrapText="1"/>
    </xf>
    <xf numFmtId="0" fontId="43" fillId="0" borderId="0" xfId="0" applyFont="1"/>
    <xf numFmtId="0" fontId="38" fillId="0" borderId="0" xfId="0" applyFont="1"/>
    <xf numFmtId="0" fontId="8" fillId="0" borderId="0" xfId="0" applyFont="1" applyAlignment="1" applyProtection="1">
      <alignment horizontal="left"/>
      <protection locked="0"/>
    </xf>
    <xf numFmtId="0" fontId="33" fillId="0" borderId="26" xfId="0" applyFont="1" applyBorder="1" applyAlignment="1">
      <alignment vertical="center"/>
    </xf>
    <xf numFmtId="0" fontId="31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0" fontId="46" fillId="0" borderId="0" xfId="0" applyFont="1"/>
    <xf numFmtId="0" fontId="3" fillId="0" borderId="0" xfId="1"/>
    <xf numFmtId="0" fontId="3" fillId="0" borderId="0" xfId="1" applyAlignment="1">
      <alignment horizontal="left"/>
    </xf>
    <xf numFmtId="0" fontId="0" fillId="0" borderId="0" xfId="0" applyAlignment="1">
      <alignment horizontal="left" indent="1"/>
    </xf>
    <xf numFmtId="0" fontId="2" fillId="9" borderId="0" xfId="0" applyFont="1" applyFill="1"/>
    <xf numFmtId="0" fontId="13" fillId="0" borderId="0" xfId="0" applyFont="1" applyAlignment="1">
      <alignment horizontal="left" indent="1"/>
    </xf>
    <xf numFmtId="2" fontId="0" fillId="6" borderId="0" xfId="0" applyNumberFormat="1" applyFill="1"/>
    <xf numFmtId="167" fontId="13" fillId="0" borderId="0" xfId="0" applyNumberFormat="1" applyFont="1"/>
    <xf numFmtId="0" fontId="11" fillId="0" borderId="16" xfId="0" applyFont="1" applyBorder="1" applyProtection="1">
      <protection locked="0"/>
    </xf>
    <xf numFmtId="0" fontId="0" fillId="0" borderId="2" xfId="0" applyBorder="1" applyAlignment="1">
      <alignment wrapText="1"/>
    </xf>
    <xf numFmtId="0" fontId="23" fillId="12" borderId="24" xfId="0" applyFont="1" applyFill="1" applyBorder="1" applyAlignment="1">
      <alignment horizontal="center" vertical="center" wrapText="1"/>
    </xf>
    <xf numFmtId="0" fontId="13" fillId="2" borderId="4" xfId="0" applyFont="1" applyFill="1" applyBorder="1" applyProtection="1">
      <protection locked="0"/>
    </xf>
    <xf numFmtId="1" fontId="11" fillId="2" borderId="4" xfId="0" applyNumberFormat="1" applyFont="1" applyFill="1" applyBorder="1"/>
    <xf numFmtId="0" fontId="0" fillId="4" borderId="2" xfId="0" quotePrefix="1" applyFill="1" applyBorder="1" applyProtection="1">
      <protection locked="0"/>
    </xf>
    <xf numFmtId="0" fontId="0" fillId="4" borderId="0" xfId="0" quotePrefix="1" applyFill="1" applyProtection="1">
      <protection locked="0"/>
    </xf>
    <xf numFmtId="0" fontId="22" fillId="0" borderId="4" xfId="0" applyFont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13" fillId="0" borderId="31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0" fillId="0" borderId="0" xfId="0" applyAlignment="1">
      <alignment horizontal="left" wrapText="1"/>
    </xf>
    <xf numFmtId="0" fontId="2" fillId="11" borderId="3" xfId="0" applyFont="1" applyFill="1" applyBorder="1" applyAlignment="1" applyProtection="1">
      <alignment horizontal="center"/>
      <protection locked="0"/>
    </xf>
    <xf numFmtId="0" fontId="2" fillId="11" borderId="6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7" fillId="0" borderId="0" xfId="0" applyFont="1" applyProtection="1">
      <protection locked="0"/>
    </xf>
    <xf numFmtId="0" fontId="3" fillId="7" borderId="0" xfId="1" applyFill="1" applyProtection="1">
      <protection locked="0"/>
    </xf>
    <xf numFmtId="0" fontId="0" fillId="0" borderId="0" xfId="0" applyAlignment="1">
      <alignment horizontal="right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Päästöjakauma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96-4EC3-996D-5B8FD784C4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96-4EC3-996D-5B8FD784C4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96-4EC3-996D-5B8FD784C4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(Yhteenveto!$B$7,Yhteenveto!$B$10,Yhteenveto!$B$11)</c:f>
              <c:strCache>
                <c:ptCount val="3"/>
                <c:pt idx="0">
                  <c:v>Matkustamisen päästöt</c:v>
                </c:pt>
                <c:pt idx="1">
                  <c:v>Kiinteistöjen päästöt</c:v>
                </c:pt>
                <c:pt idx="2">
                  <c:v>Hankintojen päästöt</c:v>
                </c:pt>
              </c:strCache>
            </c:strRef>
          </c:cat>
          <c:val>
            <c:numRef>
              <c:f>(Yhteenveto!$G$7,Yhteenveto!$G$10,Yhteenveto!$G$11)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1-435D-B826-23C3A3209BD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68619422572176"/>
          <c:y val="0.28089036140788659"/>
          <c:w val="0.27842491688538934"/>
          <c:h val="0.6191782085827820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Päästöjakauma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8E6-4BF9-8B56-7857773816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8E6-4BF9-8B56-7857773816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8E6-4BF9-8B56-7857773816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8E6-4BF9-8B56-7857773816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8E6-4BF9-8B56-7857773816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8E6-4BF9-8B56-7857773816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8E6-4BF9-8B56-7857773816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8E6-4BF9-8B56-7857773816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8E6-4BF9-8B56-7857773816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8E6-4BF9-8B56-78577738164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8E6-4BF9-8B56-78577738164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8E6-4BF9-8B56-78577738164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8E6-4BF9-8B56-78577738164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8E6-4BF9-8B56-78577738164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Yhteenveto!$S$6:$S$19</c:f>
              <c:strCache>
                <c:ptCount val="14"/>
                <c:pt idx="0">
                  <c:v>Sähkö</c:v>
                </c:pt>
                <c:pt idx="1">
                  <c:v>Lämmitys</c:v>
                </c:pt>
                <c:pt idx="2">
                  <c:v>Lennot</c:v>
                </c:pt>
                <c:pt idx="3">
                  <c:v>Hankinnat</c:v>
                </c:pt>
                <c:pt idx="4">
                  <c:v>Hotelliyöpymiset</c:v>
                </c:pt>
                <c:pt idx="5">
                  <c:v>Vuokrakiinteistöt</c:v>
                </c:pt>
                <c:pt idx="6">
                  <c:v>Rakentaminen ja muu kiinteistöhuolto</c:v>
                </c:pt>
                <c:pt idx="7">
                  <c:v>Omat autot</c:v>
                </c:pt>
                <c:pt idx="8">
                  <c:v>Jätehuolto</c:v>
                </c:pt>
                <c:pt idx="9">
                  <c:v>Vedenkulutus</c:v>
                </c:pt>
                <c:pt idx="10">
                  <c:v>Henkilöautot (kilometrikorvatut liikematkat)</c:v>
                </c:pt>
                <c:pt idx="11">
                  <c:v>Joukkoliikenne</c:v>
                </c:pt>
                <c:pt idx="12">
                  <c:v>Muut hankinnat</c:v>
                </c:pt>
                <c:pt idx="13">
                  <c:v>Laivamatkat</c:v>
                </c:pt>
              </c:strCache>
            </c:strRef>
          </c:cat>
          <c:val>
            <c:numRef>
              <c:f>Yhteenveto!$U$6:$U$19</c:f>
              <c:numCache>
                <c:formatCode>0.0\ 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D-41DB-B3FF-E69919F4B9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spc="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2</xdr:col>
      <xdr:colOff>463700</xdr:colOff>
      <xdr:row>39</xdr:row>
      <xdr:rowOff>125677</xdr:rowOff>
    </xdr:to>
    <xdr:pic>
      <xdr:nvPicPr>
        <xdr:cNvPr id="14" name="Kuva 13">
          <a:extLst>
            <a:ext uri="{FF2B5EF4-FFF2-40B4-BE49-F238E27FC236}">
              <a16:creationId xmlns:a16="http://schemas.microsoft.com/office/drawing/2014/main" id="{15CC495C-61BC-4F0B-A31A-B300CA4BB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3333"/>
          <a:ext cx="6198544" cy="4385469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2103436</xdr:colOff>
      <xdr:row>25</xdr:row>
      <xdr:rowOff>34335</xdr:rowOff>
    </xdr:from>
    <xdr:to>
      <xdr:col>0</xdr:col>
      <xdr:colOff>3988593</xdr:colOff>
      <xdr:row>35</xdr:row>
      <xdr:rowOff>145521</xdr:rowOff>
    </xdr:to>
    <xdr:sp macro="" textlink="">
      <xdr:nvSpPr>
        <xdr:cNvPr id="15" name="Suorakulmio: Pyöristetyt kulmat 14">
          <a:extLst>
            <a:ext uri="{FF2B5EF4-FFF2-40B4-BE49-F238E27FC236}">
              <a16:creationId xmlns:a16="http://schemas.microsoft.com/office/drawing/2014/main" id="{D373A700-950E-4905-9C16-295AA3AB2F38}"/>
            </a:ext>
          </a:extLst>
        </xdr:cNvPr>
        <xdr:cNvSpPr/>
      </xdr:nvSpPr>
      <xdr:spPr>
        <a:xfrm>
          <a:off x="2103436" y="4664543"/>
          <a:ext cx="1885157" cy="1963270"/>
        </a:xfrm>
        <a:prstGeom prst="roundRect">
          <a:avLst/>
        </a:prstGeom>
        <a:noFill/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i-FI"/>
        </a:p>
      </xdr:txBody>
    </xdr:sp>
    <xdr:clientData/>
  </xdr:twoCellAnchor>
  <xdr:twoCellAnchor>
    <xdr:from>
      <xdr:col>0</xdr:col>
      <xdr:colOff>1116014</xdr:colOff>
      <xdr:row>25</xdr:row>
      <xdr:rowOff>52569</xdr:rowOff>
    </xdr:from>
    <xdr:to>
      <xdr:col>0</xdr:col>
      <xdr:colOff>2037291</xdr:colOff>
      <xdr:row>28</xdr:row>
      <xdr:rowOff>36410</xdr:rowOff>
    </xdr:to>
    <xdr:sp macro="" textlink="">
      <xdr:nvSpPr>
        <xdr:cNvPr id="16" name="Suorakulmio: Pyöristetyt kulmat 15">
          <a:extLst>
            <a:ext uri="{FF2B5EF4-FFF2-40B4-BE49-F238E27FC236}">
              <a16:creationId xmlns:a16="http://schemas.microsoft.com/office/drawing/2014/main" id="{BC3252BB-FC99-4584-8555-3C77967FC130}"/>
            </a:ext>
          </a:extLst>
        </xdr:cNvPr>
        <xdr:cNvSpPr/>
      </xdr:nvSpPr>
      <xdr:spPr>
        <a:xfrm>
          <a:off x="1116014" y="4682777"/>
          <a:ext cx="921277" cy="539466"/>
        </a:xfrm>
        <a:prstGeom prst="roundRect">
          <a:avLst/>
        </a:prstGeom>
        <a:noFill/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i-FI"/>
        </a:p>
      </xdr:txBody>
    </xdr:sp>
    <xdr:clientData/>
  </xdr:twoCellAnchor>
  <xdr:twoCellAnchor>
    <xdr:from>
      <xdr:col>0</xdr:col>
      <xdr:colOff>1142470</xdr:colOff>
      <xdr:row>30</xdr:row>
      <xdr:rowOff>143826</xdr:rowOff>
    </xdr:from>
    <xdr:to>
      <xdr:col>0</xdr:col>
      <xdr:colOff>1938072</xdr:colOff>
      <xdr:row>32</xdr:row>
      <xdr:rowOff>178008</xdr:rowOff>
    </xdr:to>
    <xdr:sp macro="" textlink="">
      <xdr:nvSpPr>
        <xdr:cNvPr id="17" name="Suorakulmio: Pyöristetyt kulmat 16">
          <a:extLst>
            <a:ext uri="{FF2B5EF4-FFF2-40B4-BE49-F238E27FC236}">
              <a16:creationId xmlns:a16="http://schemas.microsoft.com/office/drawing/2014/main" id="{518150AD-2126-43DF-80E9-A96E0CC92786}"/>
            </a:ext>
          </a:extLst>
        </xdr:cNvPr>
        <xdr:cNvSpPr/>
      </xdr:nvSpPr>
      <xdr:spPr>
        <a:xfrm>
          <a:off x="1142470" y="5700076"/>
          <a:ext cx="795602" cy="404599"/>
        </a:xfrm>
        <a:prstGeom prst="roundRect">
          <a:avLst/>
        </a:prstGeom>
        <a:noFill/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i-FI"/>
        </a:p>
      </xdr:txBody>
    </xdr:sp>
    <xdr:clientData/>
  </xdr:twoCellAnchor>
  <xdr:twoCellAnchor>
    <xdr:from>
      <xdr:col>0</xdr:col>
      <xdr:colOff>1146522</xdr:colOff>
      <xdr:row>34</xdr:row>
      <xdr:rowOff>6616</xdr:rowOff>
    </xdr:from>
    <xdr:to>
      <xdr:col>0</xdr:col>
      <xdr:colOff>1938072</xdr:colOff>
      <xdr:row>35</xdr:row>
      <xdr:rowOff>84277</xdr:rowOff>
    </xdr:to>
    <xdr:sp macro="" textlink="">
      <xdr:nvSpPr>
        <xdr:cNvPr id="18" name="Suorakulmio: Pyöristetyt kulmat 17">
          <a:extLst>
            <a:ext uri="{FF2B5EF4-FFF2-40B4-BE49-F238E27FC236}">
              <a16:creationId xmlns:a16="http://schemas.microsoft.com/office/drawing/2014/main" id="{1E612E86-15F4-441C-B3EF-B38540A42A63}"/>
            </a:ext>
          </a:extLst>
        </xdr:cNvPr>
        <xdr:cNvSpPr/>
      </xdr:nvSpPr>
      <xdr:spPr>
        <a:xfrm>
          <a:off x="1146522" y="6303699"/>
          <a:ext cx="791550" cy="262870"/>
        </a:xfrm>
        <a:prstGeom prst="roundRect">
          <a:avLst/>
        </a:prstGeom>
        <a:noFill/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i-FI"/>
        </a:p>
      </xdr:txBody>
    </xdr:sp>
    <xdr:clientData/>
  </xdr:twoCellAnchor>
  <xdr:twoCellAnchor>
    <xdr:from>
      <xdr:col>0</xdr:col>
      <xdr:colOff>1116014</xdr:colOff>
      <xdr:row>28</xdr:row>
      <xdr:rowOff>54598</xdr:rowOff>
    </xdr:from>
    <xdr:to>
      <xdr:col>0</xdr:col>
      <xdr:colOff>2037291</xdr:colOff>
      <xdr:row>29</xdr:row>
      <xdr:rowOff>86695</xdr:rowOff>
    </xdr:to>
    <xdr:sp macro="" textlink="">
      <xdr:nvSpPr>
        <xdr:cNvPr id="19" name="Suorakulmio: Pyöristetyt kulmat 18">
          <a:extLst>
            <a:ext uri="{FF2B5EF4-FFF2-40B4-BE49-F238E27FC236}">
              <a16:creationId xmlns:a16="http://schemas.microsoft.com/office/drawing/2014/main" id="{F10112E5-0EBF-4F4D-9D87-FBBBBD1BA0E4}"/>
            </a:ext>
          </a:extLst>
        </xdr:cNvPr>
        <xdr:cNvSpPr/>
      </xdr:nvSpPr>
      <xdr:spPr>
        <a:xfrm>
          <a:off x="1116014" y="5240431"/>
          <a:ext cx="921277" cy="217306"/>
        </a:xfrm>
        <a:prstGeom prst="roundRect">
          <a:avLst/>
        </a:prstGeom>
        <a:noFill/>
        <a:ln w="571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i-FI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107927</xdr:colOff>
      <xdr:row>28</xdr:row>
      <xdr:rowOff>95271</xdr:rowOff>
    </xdr:from>
    <xdr:to>
      <xdr:col>7</xdr:col>
      <xdr:colOff>63972</xdr:colOff>
      <xdr:row>38</xdr:row>
      <xdr:rowOff>10134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7927" y="7543010"/>
          <a:ext cx="5529183" cy="232651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Etsi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kullekin kiinteistölle e</a:t>
          </a: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nergiayhtiön päästökerroin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Lisää arvot </a:t>
          </a:r>
          <a:r>
            <a:rPr lang="fi-FI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Kertoimet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-välilehdelle. Mikäli ei tiedossa, käytä </a:t>
          </a:r>
          <a:r>
            <a:rPr lang="fi-FI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Kertoimet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-välilehden keskimääräisiä suomalaisia sähkön ja kaukolämmön päästökertoimien arvoja.</a:t>
          </a:r>
        </a:p>
        <a:p>
          <a:endParaRPr lang="fi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kgCO</a:t>
          </a:r>
          <a:r>
            <a:rPr lang="fi-F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e/m</a:t>
          </a:r>
          <a:r>
            <a:rPr lang="fi-FI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-saraketta voit käyttää tulosten tarkistukseen / kiinteistöjen vertailuun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/>
        </a:p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paikalliselta vesilaitokselta. Jos et saa tietoa, käytä 0,69 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kgCO</a:t>
          </a:r>
          <a:r>
            <a:rPr lang="fi-F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</a:t>
          </a: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(Tampereen Vesi)</a:t>
          </a:r>
          <a:r>
            <a:rPr lang="fi-FI"/>
            <a:t> </a:t>
          </a:r>
        </a:p>
        <a:p>
          <a:endParaRPr lang="fi-FI"/>
        </a:p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jätteiden osalta käytetään palveluiden päästökerrointa 0,2 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kgCO</a:t>
          </a:r>
          <a:r>
            <a:rPr lang="fi-F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/€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fi-FI">
            <a:effectLst/>
          </a:endParaRPr>
        </a:p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Käytä ruudun </a:t>
          </a:r>
          <a:r>
            <a:rPr lang="fi-FI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Z28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tai </a:t>
          </a:r>
          <a:r>
            <a:rPr lang="fi-FI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Z29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arvoa, mikäli olet laskenut päästöt suurimmalle osalle 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AMK:nne kiinteistöistä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Muussa tapauksessa käytä Suomen yliopistokiinteistöjen määrittämää keskimääräistä arvoa</a:t>
          </a:r>
          <a:r>
            <a:rPr lang="fi-FI"/>
            <a:t> 44 kgCO</a:t>
          </a:r>
          <a:r>
            <a:rPr lang="fi-FI" baseline="-25000"/>
            <a:t>2</a:t>
          </a:r>
          <a:r>
            <a:rPr lang="fi-FI"/>
            <a:t>/brm</a:t>
          </a:r>
          <a:r>
            <a:rPr lang="fi-FI" baseline="30000"/>
            <a:t>2</a:t>
          </a:r>
          <a:r>
            <a:rPr lang="fi-FI"/>
            <a:t>.</a:t>
          </a:r>
          <a:endParaRPr lang="fi-FI" sz="1100"/>
        </a:p>
      </xdr:txBody>
    </xdr:sp>
    <xdr:clientData/>
  </xdr:twoCellAnchor>
  <xdr:twoCellAnchor>
    <xdr:from>
      <xdr:col>27</xdr:col>
      <xdr:colOff>298451</xdr:colOff>
      <xdr:row>20</xdr:row>
      <xdr:rowOff>12698</xdr:rowOff>
    </xdr:from>
    <xdr:to>
      <xdr:col>30</xdr:col>
      <xdr:colOff>330199</xdr:colOff>
      <xdr:row>23</xdr:row>
      <xdr:rowOff>16934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687118" y="5185831"/>
          <a:ext cx="2664881" cy="99483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Laskenta vuokrakiinteistöille</a:t>
          </a:r>
          <a:endParaRPr lang="fi-FI" sz="1400" b="0" u="sng"/>
        </a:p>
        <a:p>
          <a:r>
            <a:rPr lang="fi-FI" sz="1100" b="0"/>
            <a:t>Laskenta vuokrakiinteistöille,</a:t>
          </a:r>
          <a:r>
            <a:rPr lang="fi-FI" sz="1100" b="0" baseline="0"/>
            <a:t> joista ei löydy kulutustietoja.</a:t>
          </a:r>
        </a:p>
        <a:p>
          <a:endParaRPr lang="fi-FI" sz="1100" b="1" baseline="0"/>
        </a:p>
        <a:p>
          <a:r>
            <a:rPr lang="fi-FI" sz="1100" b="0" baseline="0"/>
            <a:t>Lisää rivejä tarpeen mukaan</a:t>
          </a:r>
          <a:endParaRPr lang="fi-FI" sz="1100" b="0"/>
        </a:p>
      </xdr:txBody>
    </xdr:sp>
    <xdr:clientData/>
  </xdr:twoCellAnchor>
  <xdr:twoCellAnchor>
    <xdr:from>
      <xdr:col>29</xdr:col>
      <xdr:colOff>54042</xdr:colOff>
      <xdr:row>21</xdr:row>
      <xdr:rowOff>76200</xdr:rowOff>
    </xdr:from>
    <xdr:to>
      <xdr:col>31</xdr:col>
      <xdr:colOff>0</xdr:colOff>
      <xdr:row>27</xdr:row>
      <xdr:rowOff>594468</xdr:rowOff>
    </xdr:to>
    <xdr:cxnSp macro="">
      <xdr:nvCxnSpPr>
        <xdr:cNvPr id="5" name="Suora nuoliyhdysviiv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21231968" y="5791200"/>
          <a:ext cx="1479415" cy="1626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19050</xdr:rowOff>
    </xdr:from>
    <xdr:to>
      <xdr:col>8</xdr:col>
      <xdr:colOff>298450</xdr:colOff>
      <xdr:row>21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47650" y="2863850"/>
          <a:ext cx="4927600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Tämä tekstilaatikko on muistiinpanoja ja huomioita varten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endParaRPr lang="fi-FI" sz="1100" b="1"/>
        </a:p>
      </xdr:txBody>
    </xdr:sp>
    <xdr:clientData/>
  </xdr:twoCellAnchor>
  <xdr:twoCellAnchor>
    <xdr:from>
      <xdr:col>10</xdr:col>
      <xdr:colOff>185151</xdr:colOff>
      <xdr:row>4</xdr:row>
      <xdr:rowOff>145659</xdr:rowOff>
    </xdr:from>
    <xdr:to>
      <xdr:col>16</xdr:col>
      <xdr:colOff>95773</xdr:colOff>
      <xdr:row>17</xdr:row>
      <xdr:rowOff>73765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301624</xdr:colOff>
      <xdr:row>4</xdr:row>
      <xdr:rowOff>161924</xdr:rowOff>
    </xdr:from>
    <xdr:to>
      <xdr:col>31</xdr:col>
      <xdr:colOff>0</xdr:colOff>
      <xdr:row>23</xdr:row>
      <xdr:rowOff>19050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930425</xdr:colOff>
      <xdr:row>13</xdr:row>
      <xdr:rowOff>49014</xdr:rowOff>
    </xdr:from>
    <xdr:to>
      <xdr:col>3</xdr:col>
      <xdr:colOff>393621</xdr:colOff>
      <xdr:row>14</xdr:row>
      <xdr:rowOff>16281</xdr:rowOff>
    </xdr:to>
    <xdr:sp macro="" textlink="">
      <xdr:nvSpPr>
        <xdr:cNvPr id="2" name="Kaarinuoli ylö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4072861" y="2580873"/>
          <a:ext cx="692491" cy="154511"/>
        </a:xfrm>
        <a:prstGeom prst="curved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2</xdr:col>
      <xdr:colOff>930425</xdr:colOff>
      <xdr:row>24</xdr:row>
      <xdr:rowOff>49014</xdr:rowOff>
    </xdr:from>
    <xdr:to>
      <xdr:col>3</xdr:col>
      <xdr:colOff>393621</xdr:colOff>
      <xdr:row>25</xdr:row>
      <xdr:rowOff>16281</xdr:rowOff>
    </xdr:to>
    <xdr:sp macro="" textlink="">
      <xdr:nvSpPr>
        <xdr:cNvPr id="4" name="Kaarinuoli ylö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4194976" y="4640552"/>
          <a:ext cx="692491" cy="154511"/>
        </a:xfrm>
        <a:prstGeom prst="curved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2</xdr:col>
      <xdr:colOff>930425</xdr:colOff>
      <xdr:row>35</xdr:row>
      <xdr:rowOff>49014</xdr:rowOff>
    </xdr:from>
    <xdr:to>
      <xdr:col>3</xdr:col>
      <xdr:colOff>393621</xdr:colOff>
      <xdr:row>36</xdr:row>
      <xdr:rowOff>16281</xdr:rowOff>
    </xdr:to>
    <xdr:sp macro="" textlink="">
      <xdr:nvSpPr>
        <xdr:cNvPr id="16389" name="Kaarinuoli ylös 16388">
          <a:extLst>
            <a:ext uri="{FF2B5EF4-FFF2-40B4-BE49-F238E27FC236}">
              <a16:creationId xmlns:a16="http://schemas.microsoft.com/office/drawing/2014/main" id="{00000000-0008-0000-0500-000005400000}"/>
            </a:ext>
          </a:extLst>
        </xdr:cNvPr>
        <xdr:cNvSpPr/>
      </xdr:nvSpPr>
      <xdr:spPr>
        <a:xfrm flipH="1">
          <a:off x="4194976" y="4640552"/>
          <a:ext cx="692491" cy="154511"/>
        </a:xfrm>
        <a:prstGeom prst="curved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nkinnat@oamk.fi" TargetMode="External"/><Relationship Id="rId2" Type="http://schemas.openxmlformats.org/officeDocument/2006/relationships/hyperlink" Target="mailto:nina.ylonen@arene.fi" TargetMode="External"/><Relationship Id="rId1" Type="http://schemas.openxmlformats.org/officeDocument/2006/relationships/hyperlink" Target="mailto:asseri.laitinen@vamk.fi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cao.int/environmental-protection/CarbonOffset/Pages/default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ankinnat@oamk.f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96" zoomScaleNormal="130" workbookViewId="0">
      <selection activeCell="A9" sqref="A9"/>
    </sheetView>
  </sheetViews>
  <sheetFormatPr defaultRowHeight="14.5" x14ac:dyDescent="0.35"/>
  <cols>
    <col min="1" max="1" width="73.36328125" bestFit="1" customWidth="1"/>
    <col min="3" max="3" width="48.54296875" customWidth="1"/>
  </cols>
  <sheetData>
    <row r="1" spans="1:5" x14ac:dyDescent="0.35">
      <c r="A1" s="57" t="s">
        <v>0</v>
      </c>
      <c r="C1" s="57" t="s">
        <v>207</v>
      </c>
    </row>
    <row r="2" spans="1:5" x14ac:dyDescent="0.35">
      <c r="C2" t="s">
        <v>2</v>
      </c>
    </row>
    <row r="3" spans="1:5" x14ac:dyDescent="0.35">
      <c r="A3" s="222" t="s">
        <v>210</v>
      </c>
      <c r="C3" t="s">
        <v>1</v>
      </c>
    </row>
    <row r="4" spans="1:5" x14ac:dyDescent="0.35">
      <c r="A4" s="249" t="s">
        <v>277</v>
      </c>
      <c r="C4" t="s">
        <v>83</v>
      </c>
    </row>
    <row r="5" spans="1:5" x14ac:dyDescent="0.35">
      <c r="A5" s="247" t="s">
        <v>209</v>
      </c>
      <c r="C5" s="57" t="s">
        <v>282</v>
      </c>
    </row>
    <row r="7" spans="1:5" x14ac:dyDescent="0.35">
      <c r="A7" s="222" t="s">
        <v>211</v>
      </c>
      <c r="C7" t="s">
        <v>279</v>
      </c>
      <c r="E7" s="245" t="s">
        <v>280</v>
      </c>
    </row>
    <row r="8" spans="1:5" x14ac:dyDescent="0.35">
      <c r="A8" s="247"/>
      <c r="C8" t="s">
        <v>281</v>
      </c>
    </row>
    <row r="9" spans="1:5" x14ac:dyDescent="0.35">
      <c r="A9" s="248" t="s">
        <v>306</v>
      </c>
      <c r="C9" s="244" t="s">
        <v>84</v>
      </c>
    </row>
    <row r="10" spans="1:5" x14ac:dyDescent="0.35">
      <c r="A10" t="s">
        <v>301</v>
      </c>
      <c r="C10" t="s">
        <v>278</v>
      </c>
    </row>
    <row r="11" spans="1:5" x14ac:dyDescent="0.35">
      <c r="A11" t="s">
        <v>302</v>
      </c>
    </row>
    <row r="12" spans="1:5" x14ac:dyDescent="0.35">
      <c r="A12" t="s">
        <v>303</v>
      </c>
      <c r="C12" s="57" t="s">
        <v>183</v>
      </c>
      <c r="D12" s="246" t="s">
        <v>85</v>
      </c>
    </row>
    <row r="13" spans="1:5" x14ac:dyDescent="0.35">
      <c r="A13" t="s">
        <v>304</v>
      </c>
      <c r="C13" s="270" t="s">
        <v>311</v>
      </c>
      <c r="D13" s="269" t="s">
        <v>307</v>
      </c>
    </row>
    <row r="14" spans="1:5" x14ac:dyDescent="0.35">
      <c r="A14" t="s">
        <v>305</v>
      </c>
    </row>
    <row r="15" spans="1:5" x14ac:dyDescent="0.35">
      <c r="C15" t="s">
        <v>275</v>
      </c>
    </row>
    <row r="16" spans="1:5" x14ac:dyDescent="0.35">
      <c r="C16" t="s">
        <v>276</v>
      </c>
    </row>
    <row r="17" spans="4:4" x14ac:dyDescent="0.35">
      <c r="D17" s="212"/>
    </row>
  </sheetData>
  <hyperlinks>
    <hyperlink ref="D12" r:id="rId1" xr:uid="{00000000-0004-0000-0000-000000000000}"/>
    <hyperlink ref="E7" r:id="rId2" xr:uid="{14B20B61-0035-46B5-ADF7-501517D5255F}"/>
    <hyperlink ref="D13" r:id="rId3" xr:uid="{8319BCEE-8B26-4A50-93E1-E1BD46E2D13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"/>
  <sheetViews>
    <sheetView zoomScale="85" zoomScaleNormal="85" workbookViewId="0">
      <selection activeCell="A2" sqref="A2"/>
    </sheetView>
  </sheetViews>
  <sheetFormatPr defaultColWidth="8.81640625" defaultRowHeight="14.5" x14ac:dyDescent="0.35"/>
  <cols>
    <col min="1" max="1" width="34.453125" style="3" customWidth="1"/>
    <col min="2" max="2" width="21.1796875" style="3" customWidth="1"/>
    <col min="3" max="3" width="11.81640625" style="3" customWidth="1"/>
    <col min="4" max="4" width="12.54296875" style="3" customWidth="1"/>
    <col min="5" max="5" width="9.81640625" style="3" customWidth="1"/>
    <col min="6" max="6" width="7" style="15" customWidth="1"/>
    <col min="7" max="7" width="44.54296875" style="5" customWidth="1"/>
    <col min="8" max="8" width="8" style="5" customWidth="1"/>
    <col min="9" max="9" width="8.26953125" style="5" customWidth="1"/>
    <col min="10" max="20" width="8.81640625" style="5"/>
    <col min="21" max="21" width="109.453125" style="5" customWidth="1"/>
    <col min="22" max="16384" width="8.81640625" style="3"/>
  </cols>
  <sheetData>
    <row r="1" spans="1:21" s="1" customFormat="1" ht="18.5" x14ac:dyDescent="0.45">
      <c r="A1" s="129" t="s">
        <v>3</v>
      </c>
      <c r="B1" s="130" t="s">
        <v>167</v>
      </c>
      <c r="C1" s="131"/>
      <c r="D1" s="131"/>
      <c r="E1" s="131"/>
      <c r="F1" s="132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1" x14ac:dyDescent="0.5">
      <c r="A2" s="62" t="s">
        <v>33</v>
      </c>
      <c r="B2" s="2"/>
      <c r="F2" s="4"/>
      <c r="G2" s="19" t="s">
        <v>294</v>
      </c>
    </row>
    <row r="3" spans="1:21" ht="17" x14ac:dyDescent="0.4">
      <c r="A3" s="6"/>
      <c r="B3" s="6"/>
      <c r="F3" s="4"/>
      <c r="G3" s="223" t="s">
        <v>212</v>
      </c>
    </row>
    <row r="4" spans="1:21" ht="15.5" x14ac:dyDescent="0.35">
      <c r="F4" s="7"/>
      <c r="G4" s="8"/>
    </row>
    <row r="5" spans="1:21" ht="16.5" x14ac:dyDescent="0.45">
      <c r="A5" s="9" t="s">
        <v>4</v>
      </c>
      <c r="B5" s="10" t="s">
        <v>94</v>
      </c>
      <c r="C5" s="18" t="s">
        <v>166</v>
      </c>
      <c r="F5" s="11"/>
      <c r="G5" s="8" t="s">
        <v>213</v>
      </c>
    </row>
    <row r="6" spans="1:21" ht="18" customHeight="1" x14ac:dyDescent="0.35">
      <c r="A6" s="3" t="s">
        <v>284</v>
      </c>
      <c r="B6" s="12"/>
      <c r="C6" s="183">
        <f>B6*Kertoimet!C56/1000</f>
        <v>0</v>
      </c>
      <c r="D6" s="13"/>
      <c r="E6" s="14"/>
      <c r="G6" s="5" t="s">
        <v>96</v>
      </c>
      <c r="J6" s="16"/>
    </row>
    <row r="7" spans="1:21" ht="18" customHeight="1" x14ac:dyDescent="0.35">
      <c r="A7" s="3" t="s">
        <v>285</v>
      </c>
      <c r="B7" s="12"/>
      <c r="C7" s="183">
        <f>B7*Kertoimet!C57/1000</f>
        <v>0</v>
      </c>
      <c r="D7" s="13"/>
      <c r="E7" s="14"/>
      <c r="G7" s="257" t="s">
        <v>107</v>
      </c>
      <c r="H7" s="258"/>
      <c r="I7" s="258"/>
      <c r="J7" s="16" t="s">
        <v>106</v>
      </c>
    </row>
    <row r="8" spans="1:21" ht="18" customHeight="1" x14ac:dyDescent="0.35">
      <c r="A8" s="3" t="s">
        <v>286</v>
      </c>
      <c r="B8" s="12"/>
      <c r="C8" s="183">
        <f>B8*Kertoimet!C58/1000</f>
        <v>0</v>
      </c>
      <c r="D8" s="13"/>
      <c r="E8" s="14"/>
      <c r="G8" s="16"/>
    </row>
    <row r="9" spans="1:21" ht="19.5" customHeight="1" x14ac:dyDescent="0.45">
      <c r="A9" s="17" t="s">
        <v>5</v>
      </c>
      <c r="B9" s="80">
        <f>SUM(B6:B8)</f>
        <v>0</v>
      </c>
      <c r="C9" s="184">
        <f>SUM(C6:C8)</f>
        <v>0</v>
      </c>
      <c r="D9" s="18" t="s">
        <v>166</v>
      </c>
      <c r="G9" s="99" t="s">
        <v>291</v>
      </c>
    </row>
    <row r="10" spans="1:21" ht="15.75" customHeight="1" x14ac:dyDescent="0.35">
      <c r="C10" s="10"/>
      <c r="H10" s="19"/>
      <c r="I10" s="19"/>
    </row>
    <row r="11" spans="1:21" ht="16.5" x14ac:dyDescent="0.45">
      <c r="A11" s="9" t="s">
        <v>6</v>
      </c>
      <c r="B11" s="10" t="s">
        <v>95</v>
      </c>
      <c r="C11" s="18" t="s">
        <v>166</v>
      </c>
      <c r="H11" s="91"/>
      <c r="I11" s="91"/>
      <c r="J11" s="21"/>
    </row>
    <row r="12" spans="1:21" ht="18" customHeight="1" x14ac:dyDescent="0.35">
      <c r="A12" s="3" t="s">
        <v>90</v>
      </c>
      <c r="B12" s="93"/>
      <c r="C12" s="183">
        <f>B12*Kertoimet!C65/1000</f>
        <v>0</v>
      </c>
      <c r="E12" s="14"/>
      <c r="G12" s="5" t="s">
        <v>105</v>
      </c>
    </row>
    <row r="13" spans="1:21" ht="18" customHeight="1" x14ac:dyDescent="0.45">
      <c r="B13" s="97" t="s">
        <v>217</v>
      </c>
      <c r="C13" s="252" t="s">
        <v>166</v>
      </c>
      <c r="E13" s="14"/>
    </row>
    <row r="14" spans="1:21" ht="18" customHeight="1" x14ac:dyDescent="0.35">
      <c r="A14" s="3" t="s">
        <v>89</v>
      </c>
      <c r="B14" s="96"/>
      <c r="C14" s="185">
        <f>B14*Kertoimet!C80/1000</f>
        <v>0</v>
      </c>
      <c r="E14" s="14"/>
    </row>
    <row r="15" spans="1:21" ht="18" customHeight="1" x14ac:dyDescent="0.45">
      <c r="A15" s="17" t="s">
        <v>5</v>
      </c>
      <c r="B15" s="50"/>
      <c r="C15" s="186">
        <f>C12+C14</f>
        <v>0</v>
      </c>
      <c r="D15" s="18" t="s">
        <v>166</v>
      </c>
      <c r="E15" s="14"/>
    </row>
    <row r="16" spans="1:21" ht="18" customHeight="1" x14ac:dyDescent="0.35">
      <c r="A16" s="9"/>
      <c r="C16" s="10"/>
      <c r="D16" s="22"/>
      <c r="E16" s="14"/>
      <c r="H16" s="19"/>
      <c r="I16" s="19"/>
    </row>
    <row r="17" spans="1:9" ht="18" customHeight="1" x14ac:dyDescent="0.45">
      <c r="A17" s="9" t="s">
        <v>8</v>
      </c>
      <c r="B17" s="10" t="s">
        <v>95</v>
      </c>
      <c r="C17" s="18" t="s">
        <v>166</v>
      </c>
      <c r="D17" s="22"/>
      <c r="E17" s="14"/>
      <c r="G17" s="95"/>
      <c r="H17" s="95"/>
      <c r="I17" s="95"/>
    </row>
    <row r="18" spans="1:9" ht="18" customHeight="1" x14ac:dyDescent="0.35">
      <c r="A18" s="3" t="str">
        <f>Kertoimet!B61</f>
        <v>Diesel</v>
      </c>
      <c r="B18" s="12"/>
      <c r="C18" s="183">
        <f>B18*Kertoimet!C61/1000</f>
        <v>0</v>
      </c>
      <c r="D18" s="22"/>
      <c r="E18" s="14"/>
    </row>
    <row r="19" spans="1:9" ht="18" customHeight="1" x14ac:dyDescent="0.35">
      <c r="A19" s="3" t="str">
        <f>Kertoimet!B62</f>
        <v>Bensiini</v>
      </c>
      <c r="B19" s="12"/>
      <c r="C19" s="183">
        <f>B19*Kertoimet!C62/1000</f>
        <v>0</v>
      </c>
      <c r="D19" s="22"/>
    </row>
    <row r="20" spans="1:9" ht="18" customHeight="1" x14ac:dyDescent="0.35">
      <c r="A20" s="3" t="s">
        <v>215</v>
      </c>
      <c r="B20" s="12"/>
      <c r="C20" s="183">
        <f>B20*Kertoimet!C63/1000</f>
        <v>0</v>
      </c>
      <c r="D20" s="22"/>
    </row>
    <row r="21" spans="1:9" ht="17.25" customHeight="1" x14ac:dyDescent="0.35">
      <c r="A21" s="3" t="s">
        <v>216</v>
      </c>
      <c r="B21" s="20"/>
      <c r="C21" s="183">
        <f>B21*Kertoimet!C64/1000</f>
        <v>0</v>
      </c>
      <c r="D21" s="22"/>
      <c r="G21" s="26"/>
    </row>
    <row r="22" spans="1:9" x14ac:dyDescent="0.35">
      <c r="A22" s="3" t="str">
        <f>Kertoimet!B65</f>
        <v>Polttoaine ei tiedossa</v>
      </c>
      <c r="B22" s="93"/>
      <c r="C22" s="183">
        <f>B22*Kertoimet!C65/1000</f>
        <v>0</v>
      </c>
    </row>
    <row r="23" spans="1:9" ht="18" customHeight="1" x14ac:dyDescent="0.35">
      <c r="A23" s="3" t="str">
        <f>Kertoimet!B66</f>
        <v>Sähköauto</v>
      </c>
      <c r="B23" s="20"/>
      <c r="C23" s="183">
        <f>B23*Kertoimet!C66/1000</f>
        <v>0</v>
      </c>
      <c r="G23" s="5" t="s">
        <v>182</v>
      </c>
    </row>
    <row r="24" spans="1:9" ht="18" customHeight="1" x14ac:dyDescent="0.35">
      <c r="A24" s="3" t="str">
        <f>Kertoimet!B67</f>
        <v>Hybridi</v>
      </c>
      <c r="B24" s="20"/>
      <c r="C24" s="183">
        <f>B24*Kertoimet!C67/1000</f>
        <v>0</v>
      </c>
    </row>
    <row r="25" spans="1:9" ht="18" customHeight="1" x14ac:dyDescent="0.35">
      <c r="A25" s="3" t="str">
        <f>Kertoimet!B68</f>
        <v>Lataushybridi</v>
      </c>
      <c r="B25" s="20"/>
      <c r="C25" s="183">
        <f>B25*Kertoimet!C68/1000</f>
        <v>0</v>
      </c>
    </row>
    <row r="26" spans="1:9" ht="16.5" x14ac:dyDescent="0.45">
      <c r="A26" s="225"/>
      <c r="B26" s="9" t="s">
        <v>229</v>
      </c>
      <c r="C26" s="18" t="s">
        <v>166</v>
      </c>
      <c r="G26" s="5" t="s">
        <v>272</v>
      </c>
    </row>
    <row r="27" spans="1:9" ht="18" customHeight="1" x14ac:dyDescent="0.35">
      <c r="A27" s="3" t="s">
        <v>224</v>
      </c>
      <c r="B27" s="20"/>
      <c r="C27" s="183">
        <f>B27*Kertoimet!C71/1000</f>
        <v>0</v>
      </c>
    </row>
    <row r="28" spans="1:9" ht="18" customHeight="1" x14ac:dyDescent="0.35">
      <c r="A28" s="3" t="s">
        <v>225</v>
      </c>
      <c r="B28" s="20"/>
      <c r="C28" s="183">
        <f>B28*Kertoimet!C72/1000</f>
        <v>0</v>
      </c>
    </row>
    <row r="29" spans="1:9" ht="18" customHeight="1" x14ac:dyDescent="0.35">
      <c r="A29" s="3" t="s">
        <v>226</v>
      </c>
      <c r="B29" s="20"/>
      <c r="C29" s="183">
        <f>B29*Kertoimet!C74/1000</f>
        <v>0</v>
      </c>
    </row>
    <row r="30" spans="1:9" ht="18" customHeight="1" x14ac:dyDescent="0.35">
      <c r="A30" s="3" t="s">
        <v>227</v>
      </c>
      <c r="B30" s="20"/>
      <c r="C30" s="183">
        <f>B30*Kertoimet!C75/1000</f>
        <v>0</v>
      </c>
    </row>
    <row r="31" spans="1:9" ht="18" customHeight="1" x14ac:dyDescent="0.35">
      <c r="A31" s="3" t="s">
        <v>228</v>
      </c>
      <c r="B31" s="20"/>
      <c r="C31" s="183">
        <f>B31*Kertoimet!C77/1000</f>
        <v>0</v>
      </c>
    </row>
    <row r="32" spans="1:9" ht="16.5" x14ac:dyDescent="0.45">
      <c r="C32" s="184">
        <f>SUM(C18:C25)+SUM(C27:C31)</f>
        <v>0</v>
      </c>
      <c r="D32" s="18" t="s">
        <v>166</v>
      </c>
      <c r="E32" s="14"/>
      <c r="G32" s="26"/>
    </row>
    <row r="33" spans="1:7" ht="18" customHeight="1" x14ac:dyDescent="0.35">
      <c r="D33" s="14"/>
      <c r="E33" s="14"/>
      <c r="G33" s="21"/>
    </row>
    <row r="34" spans="1:7" ht="18" customHeight="1" x14ac:dyDescent="0.45">
      <c r="A34" s="9" t="s">
        <v>9</v>
      </c>
      <c r="B34" s="240" t="s">
        <v>217</v>
      </c>
      <c r="C34" s="18" t="s">
        <v>166</v>
      </c>
      <c r="E34" s="14"/>
      <c r="G34" s="5" t="s">
        <v>268</v>
      </c>
    </row>
    <row r="35" spans="1:7" ht="18" customHeight="1" x14ac:dyDescent="0.35">
      <c r="A35" s="3" t="str">
        <f>Kertoimet!B83</f>
        <v>Bussi (kaukoliikenne) km:t</v>
      </c>
      <c r="B35" s="12"/>
      <c r="C35" s="183">
        <f>B35*Kertoimet!C83/1000</f>
        <v>0</v>
      </c>
      <c r="E35" s="14"/>
      <c r="G35" s="26"/>
    </row>
    <row r="36" spans="1:7" ht="18" customHeight="1" x14ac:dyDescent="0.35">
      <c r="A36" s="44" t="s">
        <v>168</v>
      </c>
      <c r="B36" s="190" t="s">
        <v>173</v>
      </c>
      <c r="C36" s="191" t="s">
        <v>171</v>
      </c>
      <c r="E36" s="14"/>
      <c r="G36" s="5" t="s">
        <v>172</v>
      </c>
    </row>
    <row r="37" spans="1:7" ht="18" customHeight="1" x14ac:dyDescent="0.45">
      <c r="A37" s="89"/>
      <c r="B37" s="97" t="s">
        <v>217</v>
      </c>
      <c r="C37" s="18" t="s">
        <v>166</v>
      </c>
      <c r="E37" s="14"/>
    </row>
    <row r="38" spans="1:7" ht="18" customHeight="1" x14ac:dyDescent="0.35">
      <c r="A38" s="3" t="s">
        <v>93</v>
      </c>
      <c r="B38" s="190" t="s">
        <v>174</v>
      </c>
      <c r="C38" s="192" t="s">
        <v>171</v>
      </c>
      <c r="E38" s="14"/>
      <c r="G38" s="26" t="s">
        <v>214</v>
      </c>
    </row>
    <row r="39" spans="1:7" ht="18" customHeight="1" x14ac:dyDescent="0.35">
      <c r="A39" s="3" t="s">
        <v>79</v>
      </c>
      <c r="B39" s="92"/>
      <c r="C39" s="185">
        <f>B39*Kertoimet!C86/1000</f>
        <v>0</v>
      </c>
      <c r="E39" s="14"/>
    </row>
    <row r="40" spans="1:7" x14ac:dyDescent="0.35">
      <c r="A40" s="3" t="s">
        <v>78</v>
      </c>
      <c r="B40" s="12"/>
      <c r="C40" s="183">
        <f>B40*Kertoimet!C87/1000</f>
        <v>0</v>
      </c>
    </row>
    <row r="41" spans="1:7" ht="18" customHeight="1" x14ac:dyDescent="0.45">
      <c r="B41" s="17" t="s">
        <v>5</v>
      </c>
      <c r="C41" s="184">
        <f>C35+SUM(C39:C40)</f>
        <v>0</v>
      </c>
      <c r="D41" s="18" t="s">
        <v>166</v>
      </c>
    </row>
    <row r="42" spans="1:7" ht="18" customHeight="1" x14ac:dyDescent="0.35">
      <c r="A42" s="17"/>
      <c r="B42" s="94"/>
      <c r="C42" s="94"/>
      <c r="D42" s="18"/>
      <c r="G42" s="26"/>
    </row>
    <row r="43" spans="1:7" ht="16.5" x14ac:dyDescent="0.45">
      <c r="A43" s="23"/>
      <c r="B43" s="240" t="s">
        <v>217</v>
      </c>
      <c r="C43" s="18" t="s">
        <v>166</v>
      </c>
    </row>
    <row r="44" spans="1:7" ht="16.5" x14ac:dyDescent="0.45">
      <c r="A44" s="10" t="s">
        <v>10</v>
      </c>
      <c r="B44" s="12"/>
      <c r="C44" s="186">
        <f>B44*Kertoimet!C90/1000</f>
        <v>0</v>
      </c>
      <c r="D44" s="18" t="s">
        <v>166</v>
      </c>
      <c r="G44" s="5" t="s">
        <v>269</v>
      </c>
    </row>
    <row r="45" spans="1:7" ht="18" customHeight="1" x14ac:dyDescent="0.35">
      <c r="C45" s="18"/>
      <c r="E45" s="18"/>
    </row>
    <row r="46" spans="1:7" ht="16.5" x14ac:dyDescent="0.45">
      <c r="B46" s="240" t="s">
        <v>217</v>
      </c>
      <c r="C46" s="18" t="s">
        <v>166</v>
      </c>
      <c r="D46" s="14"/>
    </row>
    <row r="47" spans="1:7" ht="16.5" x14ac:dyDescent="0.45">
      <c r="A47" s="9" t="s">
        <v>11</v>
      </c>
      <c r="B47" s="12"/>
      <c r="C47" s="186">
        <f>B47*Kertoimet!C93/1000</f>
        <v>0</v>
      </c>
      <c r="D47" s="18" t="s">
        <v>166</v>
      </c>
      <c r="G47" s="5" t="s">
        <v>270</v>
      </c>
    </row>
    <row r="48" spans="1:7" ht="18" customHeight="1" x14ac:dyDescent="0.35">
      <c r="E48" s="18"/>
    </row>
    <row r="49" spans="1:21" ht="16.5" x14ac:dyDescent="0.45">
      <c r="A49" s="18" t="str">
        <f>Kertoimet!B95</f>
        <v>Hotelliyöpymiset</v>
      </c>
      <c r="B49" s="10" t="s">
        <v>218</v>
      </c>
      <c r="C49" s="27" t="s">
        <v>12</v>
      </c>
      <c r="D49" s="18" t="s">
        <v>166</v>
      </c>
    </row>
    <row r="50" spans="1:21" x14ac:dyDescent="0.35">
      <c r="A50" s="3" t="s">
        <v>82</v>
      </c>
      <c r="B50" s="12"/>
      <c r="C50" s="255">
        <v>100</v>
      </c>
      <c r="D50" s="187">
        <f>B50*C50*Kertoimet!C96/1000</f>
        <v>0</v>
      </c>
      <c r="F50" s="28"/>
      <c r="G50" s="5" t="s">
        <v>232</v>
      </c>
    </row>
    <row r="51" spans="1:21" ht="45.5" x14ac:dyDescent="0.45">
      <c r="B51" s="10" t="s">
        <v>218</v>
      </c>
      <c r="C51" s="81" t="s">
        <v>80</v>
      </c>
      <c r="D51" s="18" t="s">
        <v>166</v>
      </c>
      <c r="G51" s="5" t="s">
        <v>232</v>
      </c>
    </row>
    <row r="52" spans="1:21" x14ac:dyDescent="0.35">
      <c r="A52" s="3" t="s">
        <v>81</v>
      </c>
      <c r="B52" s="82"/>
      <c r="C52" s="256"/>
      <c r="D52" s="188">
        <f>B52*C52/1000</f>
        <v>0</v>
      </c>
      <c r="E52" s="18"/>
      <c r="G52" s="26" t="s">
        <v>234</v>
      </c>
    </row>
    <row r="53" spans="1:21" ht="16.5" x14ac:dyDescent="0.45">
      <c r="C53" s="9" t="s">
        <v>7</v>
      </c>
      <c r="D53" s="184">
        <f>D50+D52</f>
        <v>0</v>
      </c>
      <c r="E53" s="18" t="s">
        <v>166</v>
      </c>
    </row>
    <row r="54" spans="1:21" x14ac:dyDescent="0.35">
      <c r="G54" s="5" t="s">
        <v>271</v>
      </c>
    </row>
    <row r="55" spans="1:21" x14ac:dyDescent="0.35">
      <c r="G55" s="5" t="s">
        <v>233</v>
      </c>
    </row>
    <row r="56" spans="1:21" ht="16" thickBot="1" x14ac:dyDescent="0.4">
      <c r="D56" s="29" t="s">
        <v>13</v>
      </c>
    </row>
    <row r="57" spans="1:21" ht="16" thickBot="1" x14ac:dyDescent="0.4">
      <c r="A57" s="30" t="s">
        <v>46</v>
      </c>
      <c r="B57" s="31"/>
      <c r="C57" s="32"/>
      <c r="D57" s="189">
        <f>C9+C15+C32+C41+C44+C47+D53</f>
        <v>0</v>
      </c>
      <c r="E57" s="31" t="s">
        <v>45</v>
      </c>
    </row>
    <row r="60" spans="1:21" s="33" customFormat="1" x14ac:dyDescent="0.35">
      <c r="A60" s="3"/>
      <c r="B60" s="3"/>
      <c r="C60" s="3"/>
      <c r="D60" s="3"/>
      <c r="E60" s="3"/>
      <c r="F60" s="1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33" customFormat="1" x14ac:dyDescent="0.35">
      <c r="A61" s="3"/>
      <c r="B61" s="3"/>
      <c r="C61" s="3"/>
      <c r="D61" s="3"/>
      <c r="E61" s="3"/>
      <c r="F61" s="1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33" customFormat="1" x14ac:dyDescent="0.35">
      <c r="A62" s="3"/>
      <c r="B62" s="3"/>
      <c r="C62" s="3"/>
      <c r="D62" s="3"/>
      <c r="E62" s="3"/>
      <c r="F62" s="1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33" customFormat="1" x14ac:dyDescent="0.35">
      <c r="A63" s="3"/>
      <c r="B63" s="3"/>
      <c r="C63" s="3"/>
      <c r="D63" s="3"/>
      <c r="E63" s="3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33" customFormat="1" x14ac:dyDescent="0.35">
      <c r="A64" s="3"/>
      <c r="B64" s="3"/>
      <c r="C64" s="3"/>
      <c r="D64" s="3"/>
      <c r="E64" s="3"/>
      <c r="F64" s="1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33" customFormat="1" x14ac:dyDescent="0.35">
      <c r="A65" s="3"/>
      <c r="B65" s="3"/>
      <c r="C65" s="3"/>
      <c r="D65" s="3"/>
      <c r="E65" s="3"/>
      <c r="F65" s="1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33" customFormat="1" x14ac:dyDescent="0.35">
      <c r="A66" s="3"/>
      <c r="B66" s="3"/>
      <c r="C66" s="3"/>
      <c r="D66" s="3"/>
      <c r="E66" s="3"/>
      <c r="F66" s="1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33" customFormat="1" x14ac:dyDescent="0.35">
      <c r="A67" s="3"/>
      <c r="B67" s="3"/>
      <c r="C67" s="3"/>
      <c r="D67" s="3"/>
      <c r="E67" s="3"/>
      <c r="F67" s="1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33" customFormat="1" x14ac:dyDescent="0.35">
      <c r="A68" s="3"/>
      <c r="B68" s="3"/>
      <c r="C68" s="3"/>
      <c r="D68" s="3"/>
      <c r="E68" s="3"/>
      <c r="F68" s="1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33" customFormat="1" x14ac:dyDescent="0.35">
      <c r="A69" s="3"/>
      <c r="B69" s="3"/>
      <c r="C69" s="3"/>
      <c r="D69" s="3"/>
      <c r="E69" s="3"/>
      <c r="F69" s="1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</sheetData>
  <mergeCells count="1">
    <mergeCell ref="G7:I7"/>
  </mergeCells>
  <hyperlinks>
    <hyperlink ref="J7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2"/>
  <sheetViews>
    <sheetView zoomScale="94" zoomScaleNormal="100" workbookViewId="0">
      <selection activeCell="A10" sqref="A10"/>
    </sheetView>
  </sheetViews>
  <sheetFormatPr defaultRowHeight="14.5" x14ac:dyDescent="0.35"/>
  <cols>
    <col min="1" max="1" width="20.1796875" customWidth="1"/>
    <col min="2" max="2" width="9.1796875" customWidth="1"/>
    <col min="3" max="3" width="12.453125" customWidth="1"/>
    <col min="4" max="4" width="10" customWidth="1"/>
    <col min="5" max="5" width="9.453125" customWidth="1"/>
    <col min="6" max="6" width="11.26953125" bestFit="1" customWidth="1"/>
    <col min="7" max="7" width="7.26953125" customWidth="1"/>
    <col min="8" max="8" width="8.54296875" customWidth="1"/>
    <col min="9" max="9" width="10.1796875" customWidth="1"/>
    <col min="10" max="10" width="12.54296875" customWidth="1"/>
    <col min="11" max="11" width="8.453125" customWidth="1"/>
    <col min="12" max="12" width="9.36328125" customWidth="1"/>
    <col min="13" max="13" width="8.54296875" customWidth="1"/>
    <col min="14" max="14" width="9.81640625" customWidth="1"/>
    <col min="15" max="15" width="9.453125" customWidth="1"/>
    <col min="16" max="16" width="8.453125" customWidth="1"/>
    <col min="17" max="17" width="7.453125" customWidth="1"/>
    <col min="18" max="18" width="8.54296875" customWidth="1"/>
    <col min="19" max="19" width="10.1796875" customWidth="1"/>
    <col min="20" max="20" width="10.81640625" customWidth="1"/>
    <col min="21" max="21" width="8.453125" customWidth="1"/>
    <col min="22" max="22" width="7.26953125" customWidth="1"/>
    <col min="24" max="24" width="17.1796875" customWidth="1"/>
    <col min="25" max="25" width="13.81640625" customWidth="1"/>
    <col min="26" max="26" width="7.1796875" customWidth="1"/>
    <col min="27" max="27" width="14.26953125" customWidth="1"/>
    <col min="28" max="28" width="10.1796875" customWidth="1"/>
    <col min="29" max="29" width="14" customWidth="1"/>
    <col min="30" max="30" width="13.453125" customWidth="1"/>
    <col min="31" max="31" width="8.54296875" customWidth="1"/>
    <col min="32" max="32" width="9.81640625" customWidth="1"/>
    <col min="33" max="33" width="14.26953125" customWidth="1"/>
    <col min="34" max="34" width="13.54296875" customWidth="1"/>
    <col min="35" max="35" width="11.7265625" customWidth="1"/>
    <col min="36" max="36" width="9.81640625" customWidth="1"/>
    <col min="37" max="37" width="13.54296875" customWidth="1"/>
    <col min="38" max="38" width="12.453125" customWidth="1"/>
    <col min="39" max="39" width="8.54296875" customWidth="1"/>
    <col min="40" max="40" width="18.54296875" customWidth="1"/>
    <col min="41" max="41" width="8.54296875" customWidth="1"/>
    <col min="43" max="43" width="19.54296875" customWidth="1"/>
  </cols>
  <sheetData>
    <row r="1" spans="1:47" s="1" customFormat="1" ht="18.5" x14ac:dyDescent="0.45">
      <c r="A1" s="129" t="s">
        <v>121</v>
      </c>
      <c r="B1" s="130" t="s">
        <v>296</v>
      </c>
      <c r="C1" s="131"/>
      <c r="D1" s="131"/>
      <c r="E1" s="131"/>
      <c r="F1" s="132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</row>
    <row r="2" spans="1:47" x14ac:dyDescent="0.35">
      <c r="A2" s="58" t="str">
        <f>Matkustaminen!A2</f>
        <v>[Amkin nimi tähän]</v>
      </c>
    </row>
    <row r="3" spans="1:47" x14ac:dyDescent="0.35">
      <c r="A3" s="58"/>
    </row>
    <row r="4" spans="1:47" x14ac:dyDescent="0.35">
      <c r="A4" s="53" t="s">
        <v>14</v>
      </c>
    </row>
    <row r="5" spans="1:47" x14ac:dyDescent="0.35">
      <c r="A5" t="s">
        <v>295</v>
      </c>
    </row>
    <row r="7" spans="1:47" ht="15" thickBot="1" x14ac:dyDescent="0.4">
      <c r="A7" s="165" t="s">
        <v>16</v>
      </c>
      <c r="B7" s="165"/>
      <c r="C7" s="166"/>
      <c r="D7" s="167" t="s">
        <v>50</v>
      </c>
      <c r="E7" s="165"/>
      <c r="F7" s="165"/>
      <c r="G7" s="165"/>
      <c r="H7" s="165"/>
      <c r="I7" s="167" t="s">
        <v>51</v>
      </c>
      <c r="J7" s="165"/>
      <c r="K7" s="165"/>
      <c r="L7" s="165"/>
      <c r="M7" s="165"/>
      <c r="N7" s="167" t="s">
        <v>37</v>
      </c>
      <c r="O7" s="165"/>
      <c r="P7" s="165"/>
      <c r="Q7" s="165"/>
      <c r="R7" s="165"/>
      <c r="S7" s="167" t="s">
        <v>52</v>
      </c>
      <c r="T7" s="165"/>
      <c r="U7" s="165"/>
      <c r="V7" s="165"/>
      <c r="W7" s="165"/>
      <c r="X7" s="63"/>
      <c r="AR7" s="58"/>
      <c r="AS7" s="58"/>
      <c r="AT7" s="58"/>
    </row>
    <row r="8" spans="1:47" s="54" customFormat="1" ht="29.5" thickTop="1" x14ac:dyDescent="0.35">
      <c r="A8" s="70" t="s">
        <v>47</v>
      </c>
      <c r="B8" s="70" t="s">
        <v>48</v>
      </c>
      <c r="C8" s="70" t="s">
        <v>49</v>
      </c>
      <c r="D8" s="111" t="s">
        <v>55</v>
      </c>
      <c r="E8" s="105"/>
      <c r="F8" s="104" t="s">
        <v>56</v>
      </c>
      <c r="G8" s="104" t="s">
        <v>57</v>
      </c>
      <c r="H8" s="104" t="s">
        <v>58</v>
      </c>
      <c r="I8" s="111" t="s">
        <v>55</v>
      </c>
      <c r="J8" s="105"/>
      <c r="K8" s="104" t="s">
        <v>56</v>
      </c>
      <c r="L8" s="104" t="s">
        <v>57</v>
      </c>
      <c r="M8" s="104" t="s">
        <v>58</v>
      </c>
      <c r="N8" s="111" t="s">
        <v>55</v>
      </c>
      <c r="O8" s="105"/>
      <c r="P8" s="104" t="s">
        <v>56</v>
      </c>
      <c r="Q8" s="104" t="s">
        <v>57</v>
      </c>
      <c r="R8" s="104" t="s">
        <v>58</v>
      </c>
      <c r="S8" s="111" t="s">
        <v>55</v>
      </c>
      <c r="T8" s="104"/>
      <c r="U8" s="169" t="s">
        <v>56</v>
      </c>
      <c r="V8" s="104" t="s">
        <v>57</v>
      </c>
      <c r="W8" s="104" t="s">
        <v>58</v>
      </c>
      <c r="X8" s="253"/>
      <c r="AR8" s="70"/>
      <c r="AS8" s="70"/>
      <c r="AT8" s="70"/>
    </row>
    <row r="9" spans="1:47" ht="33.5" thickBot="1" x14ac:dyDescent="0.4">
      <c r="A9" s="71"/>
      <c r="B9" s="72"/>
      <c r="C9" s="72" t="s">
        <v>92</v>
      </c>
      <c r="D9" s="119" t="s">
        <v>60</v>
      </c>
      <c r="E9" s="120" t="s">
        <v>41</v>
      </c>
      <c r="F9" s="121" t="s">
        <v>62</v>
      </c>
      <c r="G9" s="123" t="s">
        <v>63</v>
      </c>
      <c r="H9" s="122" t="s">
        <v>61</v>
      </c>
      <c r="I9" s="119" t="s">
        <v>60</v>
      </c>
      <c r="J9" s="120" t="s">
        <v>42</v>
      </c>
      <c r="K9" s="121" t="s">
        <v>62</v>
      </c>
      <c r="L9" s="123" t="s">
        <v>63</v>
      </c>
      <c r="M9" s="122" t="s">
        <v>61</v>
      </c>
      <c r="N9" s="119" t="s">
        <v>60</v>
      </c>
      <c r="O9" s="120" t="s">
        <v>38</v>
      </c>
      <c r="P9" s="121" t="s">
        <v>62</v>
      </c>
      <c r="Q9" s="123" t="s">
        <v>63</v>
      </c>
      <c r="R9" s="122" t="s">
        <v>61</v>
      </c>
      <c r="S9" s="119" t="s">
        <v>118</v>
      </c>
      <c r="T9" s="120"/>
      <c r="U9" s="127" t="s">
        <v>139</v>
      </c>
      <c r="V9" s="123" t="s">
        <v>63</v>
      </c>
      <c r="W9" s="121" t="s">
        <v>61</v>
      </c>
      <c r="X9" s="63"/>
    </row>
    <row r="10" spans="1:47" ht="15" thickTop="1" x14ac:dyDescent="0.35">
      <c r="A10" s="180" t="s">
        <v>140</v>
      </c>
      <c r="B10" s="180" t="s">
        <v>146</v>
      </c>
      <c r="C10" s="114"/>
      <c r="D10" s="115"/>
      <c r="E10" s="116" t="s">
        <v>36</v>
      </c>
      <c r="F10" s="118">
        <f>VLOOKUP(E10,Kertoimet!$B$6:$C$13,2,FALSE)</f>
        <v>132</v>
      </c>
      <c r="G10" s="57">
        <f>D10*F10/1000</f>
        <v>0</v>
      </c>
      <c r="H10" s="73" t="e">
        <f>G10/$C10*1000</f>
        <v>#DIV/0!</v>
      </c>
      <c r="I10" s="115"/>
      <c r="J10" s="116" t="s">
        <v>35</v>
      </c>
      <c r="K10" s="118">
        <f>VLOOKUP(J10,Kertoimet!$B$17:$C$24,2,FALSE)</f>
        <v>115.19999999999999</v>
      </c>
      <c r="L10" s="57">
        <f>I10*K10/1000</f>
        <v>0</v>
      </c>
      <c r="M10" s="73" t="e">
        <f>L10/$C10*1000</f>
        <v>#DIV/0!</v>
      </c>
      <c r="N10" s="115"/>
      <c r="O10" s="116" t="s">
        <v>25</v>
      </c>
      <c r="P10" s="118">
        <f>VLOOKUP(O10,Kertoimet!$B$28:$C$35,2,FALSE)</f>
        <v>115.19999999999999</v>
      </c>
      <c r="Q10" s="57">
        <f>N10*P10/1000</f>
        <v>0</v>
      </c>
      <c r="R10" s="124" t="e">
        <f>Q10/$C10*1000</f>
        <v>#DIV/0!</v>
      </c>
      <c r="S10" s="125"/>
      <c r="T10" s="170" t="s">
        <v>138</v>
      </c>
      <c r="U10" s="128">
        <f>VLOOKUP(T10,Kertoimet!$B$42:$C$42, 2,FALSE)</f>
        <v>0.69</v>
      </c>
      <c r="V10" s="57">
        <f>S10*U10/1000</f>
        <v>0</v>
      </c>
      <c r="W10" s="124" t="e">
        <f>V10/$C10*1000</f>
        <v>#DIV/0!</v>
      </c>
      <c r="X10" s="63"/>
    </row>
    <row r="11" spans="1:47" x14ac:dyDescent="0.35">
      <c r="A11" s="180" t="s">
        <v>141</v>
      </c>
      <c r="B11" s="180" t="s">
        <v>147</v>
      </c>
      <c r="C11" s="114"/>
      <c r="D11" s="115"/>
      <c r="E11" s="116" t="s">
        <v>36</v>
      </c>
      <c r="F11" s="118">
        <f>VLOOKUP(E11,Kertoimet!$B$6:$C$13,2,FALSE)</f>
        <v>132</v>
      </c>
      <c r="G11" s="57">
        <f t="shared" ref="G11:G15" si="0">D11*F11/1000</f>
        <v>0</v>
      </c>
      <c r="H11" s="73" t="e">
        <f t="shared" ref="H11:H15" si="1">G11/$C11*1000</f>
        <v>#DIV/0!</v>
      </c>
      <c r="I11" s="115"/>
      <c r="J11" s="116" t="s">
        <v>35</v>
      </c>
      <c r="K11" s="118">
        <f>VLOOKUP(J11,Kertoimet!$B$17:$C$24,2,FALSE)</f>
        <v>115.19999999999999</v>
      </c>
      <c r="L11" s="57">
        <f t="shared" ref="L11:L15" si="2">I11*K11/1000</f>
        <v>0</v>
      </c>
      <c r="M11" s="73" t="e">
        <f t="shared" ref="M11:M15" si="3">L11/$C11*1000</f>
        <v>#DIV/0!</v>
      </c>
      <c r="N11" s="115"/>
      <c r="O11" s="116" t="s">
        <v>25</v>
      </c>
      <c r="P11" s="118">
        <f>VLOOKUP(O11,Kertoimet!$B$28:$C$35,2,FALSE)</f>
        <v>115.19999999999999</v>
      </c>
      <c r="Q11" s="57">
        <f t="shared" ref="Q11:Q15" si="4">N11*P11/1000</f>
        <v>0</v>
      </c>
      <c r="R11" s="124" t="e">
        <f t="shared" ref="R11:R15" si="5">Q11/$C11*1000</f>
        <v>#DIV/0!</v>
      </c>
      <c r="S11" s="115"/>
      <c r="T11" s="170" t="s">
        <v>138</v>
      </c>
      <c r="U11" s="128">
        <f>VLOOKUP(T11,Kertoimet!$B$42:$C$42, 2,FALSE)</f>
        <v>0.69</v>
      </c>
      <c r="V11" s="57">
        <f t="shared" ref="V11:V15" si="6">S11*U11/1000</f>
        <v>0</v>
      </c>
      <c r="W11" t="e">
        <f t="shared" ref="W11:W15" si="7">V11/$C11*1000</f>
        <v>#DIV/0!</v>
      </c>
      <c r="X11" s="63"/>
    </row>
    <row r="12" spans="1:47" x14ac:dyDescent="0.35">
      <c r="A12" s="180" t="s">
        <v>142</v>
      </c>
      <c r="B12" s="180" t="s">
        <v>148</v>
      </c>
      <c r="C12" s="114"/>
      <c r="D12" s="117"/>
      <c r="E12" s="116" t="s">
        <v>36</v>
      </c>
      <c r="F12" s="118">
        <f>VLOOKUP(E12,Kertoimet!$B$6:$C$13,2,FALSE)</f>
        <v>132</v>
      </c>
      <c r="G12" s="57">
        <f t="shared" si="0"/>
        <v>0</v>
      </c>
      <c r="H12" s="73" t="e">
        <f t="shared" si="1"/>
        <v>#DIV/0!</v>
      </c>
      <c r="I12" s="117"/>
      <c r="J12" s="116" t="s">
        <v>35</v>
      </c>
      <c r="K12" s="118">
        <f>VLOOKUP(J12,Kertoimet!$B$17:$C$24,2,FALSE)</f>
        <v>115.19999999999999</v>
      </c>
      <c r="L12" s="57">
        <f t="shared" si="2"/>
        <v>0</v>
      </c>
      <c r="M12" s="73" t="e">
        <f t="shared" si="3"/>
        <v>#DIV/0!</v>
      </c>
      <c r="N12" s="117"/>
      <c r="O12" s="116" t="s">
        <v>25</v>
      </c>
      <c r="P12" s="118">
        <f>VLOOKUP(O12,Kertoimet!$B$28:$C$35,2,FALSE)</f>
        <v>115.19999999999999</v>
      </c>
      <c r="Q12" s="57">
        <f t="shared" si="4"/>
        <v>0</v>
      </c>
      <c r="R12" s="124" t="e">
        <f t="shared" si="5"/>
        <v>#DIV/0!</v>
      </c>
      <c r="S12" s="117"/>
      <c r="T12" s="170" t="s">
        <v>138</v>
      </c>
      <c r="U12" s="128">
        <f>VLOOKUP(T12,Kertoimet!$B$42:$C$42, 2,FALSE)</f>
        <v>0.69</v>
      </c>
      <c r="V12" s="57">
        <f t="shared" si="6"/>
        <v>0</v>
      </c>
      <c r="W12" t="e">
        <f t="shared" si="7"/>
        <v>#DIV/0!</v>
      </c>
      <c r="X12" s="63"/>
    </row>
    <row r="13" spans="1:47" x14ac:dyDescent="0.35">
      <c r="A13" s="180" t="s">
        <v>143</v>
      </c>
      <c r="B13" s="180" t="s">
        <v>149</v>
      </c>
      <c r="C13" s="114"/>
      <c r="D13" s="117"/>
      <c r="E13" s="116" t="s">
        <v>36</v>
      </c>
      <c r="F13" s="118">
        <f>VLOOKUP(E13,Kertoimet!$B$6:$C$13,2,FALSE)</f>
        <v>132</v>
      </c>
      <c r="G13" s="57">
        <f t="shared" si="0"/>
        <v>0</v>
      </c>
      <c r="H13" s="73" t="e">
        <f t="shared" si="1"/>
        <v>#DIV/0!</v>
      </c>
      <c r="I13" s="117"/>
      <c r="J13" s="116" t="s">
        <v>35</v>
      </c>
      <c r="K13" s="118">
        <f>VLOOKUP(J13,Kertoimet!$B$17:$C$24,2,FALSE)</f>
        <v>115.19999999999999</v>
      </c>
      <c r="L13" s="57">
        <f t="shared" si="2"/>
        <v>0</v>
      </c>
      <c r="M13" s="73" t="e">
        <f t="shared" si="3"/>
        <v>#DIV/0!</v>
      </c>
      <c r="N13" s="117"/>
      <c r="O13" s="116" t="s">
        <v>25</v>
      </c>
      <c r="P13" s="118">
        <f>VLOOKUP(O13,Kertoimet!$B$28:$C$35,2,FALSE)</f>
        <v>115.19999999999999</v>
      </c>
      <c r="Q13" s="57">
        <f t="shared" si="4"/>
        <v>0</v>
      </c>
      <c r="R13" s="124" t="e">
        <f t="shared" si="5"/>
        <v>#DIV/0!</v>
      </c>
      <c r="S13" s="117"/>
      <c r="T13" s="170" t="s">
        <v>138</v>
      </c>
      <c r="U13" s="128">
        <f>VLOOKUP(T13,Kertoimet!$B$42:$C$42, 2,FALSE)</f>
        <v>0.69</v>
      </c>
      <c r="V13" s="57">
        <f t="shared" si="6"/>
        <v>0</v>
      </c>
      <c r="W13" t="e">
        <f t="shared" si="7"/>
        <v>#DIV/0!</v>
      </c>
      <c r="X13" s="63"/>
    </row>
    <row r="14" spans="1:47" x14ac:dyDescent="0.35">
      <c r="A14" s="180" t="s">
        <v>144</v>
      </c>
      <c r="B14" s="180" t="s">
        <v>150</v>
      </c>
      <c r="C14" s="114"/>
      <c r="D14" s="117"/>
      <c r="E14" s="116" t="s">
        <v>36</v>
      </c>
      <c r="F14" s="118">
        <f>VLOOKUP(E14,Kertoimet!$B$6:$C$13,2,FALSE)</f>
        <v>132</v>
      </c>
      <c r="G14" s="57">
        <f t="shared" si="0"/>
        <v>0</v>
      </c>
      <c r="H14" s="73" t="e">
        <f t="shared" si="1"/>
        <v>#DIV/0!</v>
      </c>
      <c r="I14" s="117"/>
      <c r="J14" s="116" t="s">
        <v>35</v>
      </c>
      <c r="K14" s="118">
        <f>VLOOKUP(J14,Kertoimet!$B$17:$C$24,2,FALSE)</f>
        <v>115.19999999999999</v>
      </c>
      <c r="L14" s="57">
        <f t="shared" si="2"/>
        <v>0</v>
      </c>
      <c r="M14" s="73" t="e">
        <f t="shared" si="3"/>
        <v>#DIV/0!</v>
      </c>
      <c r="N14" s="117"/>
      <c r="O14" s="116" t="s">
        <v>25</v>
      </c>
      <c r="P14" s="118">
        <f>VLOOKUP(O14,Kertoimet!$B$28:$C$35,2,FALSE)</f>
        <v>115.19999999999999</v>
      </c>
      <c r="Q14" s="57">
        <f t="shared" si="4"/>
        <v>0</v>
      </c>
      <c r="R14" s="124" t="e">
        <f t="shared" si="5"/>
        <v>#DIV/0!</v>
      </c>
      <c r="S14" s="117"/>
      <c r="T14" s="170" t="s">
        <v>138</v>
      </c>
      <c r="U14" s="128">
        <f>VLOOKUP(T14,Kertoimet!$B$42:$C$42, 2,FALSE)</f>
        <v>0.69</v>
      </c>
      <c r="V14" s="57">
        <f t="shared" si="6"/>
        <v>0</v>
      </c>
      <c r="W14" t="e">
        <f t="shared" si="7"/>
        <v>#DIV/0!</v>
      </c>
      <c r="X14" s="63"/>
    </row>
    <row r="15" spans="1:47" x14ac:dyDescent="0.35">
      <c r="A15" s="180" t="s">
        <v>145</v>
      </c>
      <c r="B15" s="180" t="s">
        <v>151</v>
      </c>
      <c r="C15" s="114"/>
      <c r="D15" s="117"/>
      <c r="E15" s="116" t="s">
        <v>36</v>
      </c>
      <c r="F15" s="118">
        <f>VLOOKUP(E15,Kertoimet!$B$6:$C$13,2,FALSE)</f>
        <v>132</v>
      </c>
      <c r="G15" s="57">
        <f t="shared" si="0"/>
        <v>0</v>
      </c>
      <c r="H15" s="73" t="e">
        <f t="shared" si="1"/>
        <v>#DIV/0!</v>
      </c>
      <c r="I15" s="117"/>
      <c r="J15" s="116" t="s">
        <v>35</v>
      </c>
      <c r="K15" s="118">
        <f>VLOOKUP(J15,Kertoimet!$B$17:$C$24,2,FALSE)</f>
        <v>115.19999999999999</v>
      </c>
      <c r="L15" s="57">
        <f t="shared" si="2"/>
        <v>0</v>
      </c>
      <c r="M15" s="73" t="e">
        <f t="shared" si="3"/>
        <v>#DIV/0!</v>
      </c>
      <c r="N15" s="117"/>
      <c r="O15" s="116" t="s">
        <v>25</v>
      </c>
      <c r="P15" s="118">
        <f>VLOOKUP(O15,Kertoimet!$B$28:$C$35,2,FALSE)</f>
        <v>115.19999999999999</v>
      </c>
      <c r="Q15" s="57">
        <f t="shared" si="4"/>
        <v>0</v>
      </c>
      <c r="R15" s="124" t="e">
        <f t="shared" si="5"/>
        <v>#DIV/0!</v>
      </c>
      <c r="S15" s="126"/>
      <c r="T15" s="170" t="s">
        <v>138</v>
      </c>
      <c r="U15" s="128">
        <f>VLOOKUP(T15,Kertoimet!$B$42:$C$42, 2,FALSE)</f>
        <v>0.69</v>
      </c>
      <c r="V15" s="57">
        <f t="shared" si="6"/>
        <v>0</v>
      </c>
      <c r="W15" t="e">
        <f t="shared" si="7"/>
        <v>#DIV/0!</v>
      </c>
      <c r="X15" s="63"/>
    </row>
    <row r="16" spans="1:47" s="58" customFormat="1" x14ac:dyDescent="0.35">
      <c r="A16" s="106" t="s">
        <v>7</v>
      </c>
      <c r="B16" s="106"/>
      <c r="C16" s="106">
        <f>SUM(C10:C15)</f>
        <v>0</v>
      </c>
      <c r="D16" s="107">
        <f>SUM(D10:D15)</f>
        <v>0</v>
      </c>
      <c r="E16" s="106"/>
      <c r="F16" s="106"/>
      <c r="G16" s="106">
        <f>SUM(G10:G15)</f>
        <v>0</v>
      </c>
      <c r="H16" s="106"/>
      <c r="I16" s="106">
        <f>SUM(I10:I15)</f>
        <v>0</v>
      </c>
      <c r="J16" s="106"/>
      <c r="K16" s="106"/>
      <c r="L16" s="106">
        <f>SUM(L10:L15)</f>
        <v>0</v>
      </c>
      <c r="M16" s="106"/>
      <c r="N16" s="106">
        <f>SUM(N10:N15)</f>
        <v>0</v>
      </c>
      <c r="O16" s="106"/>
      <c r="P16" s="106"/>
      <c r="Q16" s="106">
        <f>SUM(Q10:Q15)</f>
        <v>0</v>
      </c>
      <c r="R16" s="106"/>
      <c r="S16" s="106">
        <f>SUM(S10:S15)</f>
        <v>0</v>
      </c>
      <c r="T16" s="106"/>
      <c r="U16" s="106"/>
      <c r="V16" s="106">
        <f>SUM(V10:V15)</f>
        <v>0</v>
      </c>
      <c r="W16" s="106"/>
    </row>
    <row r="17" spans="1:39" s="58" customFormat="1" x14ac:dyDescent="0.35"/>
    <row r="18" spans="1:39" x14ac:dyDescent="0.35">
      <c r="A18" s="55"/>
      <c r="AL18" s="58"/>
      <c r="AM18" s="58"/>
    </row>
    <row r="19" spans="1:39" ht="75" thickBot="1" x14ac:dyDescent="0.4">
      <c r="A19" s="165" t="s">
        <v>16</v>
      </c>
      <c r="B19" s="165"/>
      <c r="C19" s="166"/>
      <c r="D19" s="167" t="s">
        <v>53</v>
      </c>
      <c r="E19" s="165"/>
      <c r="F19" s="165"/>
      <c r="G19" s="167" t="s">
        <v>54</v>
      </c>
      <c r="H19" s="165"/>
      <c r="I19" s="165"/>
      <c r="J19" s="172" t="s">
        <v>152</v>
      </c>
      <c r="K19" s="193" t="s">
        <v>175</v>
      </c>
      <c r="L19" s="165"/>
      <c r="M19" s="172" t="s">
        <v>153</v>
      </c>
      <c r="N19" s="194" t="s">
        <v>176</v>
      </c>
      <c r="O19" s="168"/>
      <c r="P19" s="167" t="s">
        <v>154</v>
      </c>
      <c r="Q19" s="165"/>
      <c r="R19" s="165"/>
      <c r="S19" s="172" t="s">
        <v>155</v>
      </c>
      <c r="T19" s="165"/>
      <c r="U19" s="165"/>
      <c r="V19" s="167" t="s">
        <v>156</v>
      </c>
      <c r="W19" s="165"/>
      <c r="X19" s="168"/>
      <c r="Y19" s="165" t="s">
        <v>67</v>
      </c>
      <c r="Z19" s="165"/>
      <c r="AA19" s="63"/>
      <c r="AE19" s="58"/>
      <c r="AF19" s="58"/>
    </row>
    <row r="20" spans="1:39" ht="29.5" thickTop="1" x14ac:dyDescent="0.35">
      <c r="A20" s="70" t="s">
        <v>47</v>
      </c>
      <c r="B20" s="70" t="s">
        <v>48</v>
      </c>
      <c r="C20" s="70" t="s">
        <v>49</v>
      </c>
      <c r="D20" s="111" t="s">
        <v>59</v>
      </c>
      <c r="E20" s="104" t="s">
        <v>57</v>
      </c>
      <c r="F20" s="104" t="s">
        <v>58</v>
      </c>
      <c r="G20" s="111" t="s">
        <v>59</v>
      </c>
      <c r="H20" s="104" t="s">
        <v>57</v>
      </c>
      <c r="I20" s="104" t="s">
        <v>58</v>
      </c>
      <c r="J20" s="111" t="s">
        <v>59</v>
      </c>
      <c r="K20" s="104" t="s">
        <v>57</v>
      </c>
      <c r="L20" s="104" t="s">
        <v>58</v>
      </c>
      <c r="M20" s="111" t="s">
        <v>59</v>
      </c>
      <c r="N20" s="104" t="s">
        <v>57</v>
      </c>
      <c r="O20" s="100" t="s">
        <v>58</v>
      </c>
      <c r="P20" s="111" t="s">
        <v>59</v>
      </c>
      <c r="Q20" s="104" t="s">
        <v>57</v>
      </c>
      <c r="R20" s="104" t="s">
        <v>58</v>
      </c>
      <c r="S20" s="111" t="s">
        <v>59</v>
      </c>
      <c r="T20" s="104" t="s">
        <v>57</v>
      </c>
      <c r="U20" s="104" t="s">
        <v>58</v>
      </c>
      <c r="V20" s="111" t="s">
        <v>59</v>
      </c>
      <c r="W20" s="104" t="s">
        <v>57</v>
      </c>
      <c r="X20" s="100" t="s">
        <v>58</v>
      </c>
      <c r="Y20" s="104" t="s">
        <v>57</v>
      </c>
      <c r="Z20" s="104" t="s">
        <v>58</v>
      </c>
      <c r="AA20" s="63"/>
      <c r="AE20" s="70"/>
      <c r="AF20" s="70"/>
    </row>
    <row r="21" spans="1:39" ht="47" thickBot="1" x14ac:dyDescent="0.4">
      <c r="A21" s="71"/>
      <c r="B21" s="72"/>
      <c r="C21" s="72" t="s">
        <v>92</v>
      </c>
      <c r="D21" s="226" t="s">
        <v>235</v>
      </c>
      <c r="E21" s="123" t="s">
        <v>65</v>
      </c>
      <c r="F21" s="122" t="s">
        <v>61</v>
      </c>
      <c r="G21" s="119" t="s">
        <v>64</v>
      </c>
      <c r="H21" s="123" t="s">
        <v>66</v>
      </c>
      <c r="I21" s="122" t="s">
        <v>61</v>
      </c>
      <c r="J21" s="119" t="s">
        <v>64</v>
      </c>
      <c r="K21" s="123" t="s">
        <v>65</v>
      </c>
      <c r="L21" s="122" t="s">
        <v>61</v>
      </c>
      <c r="M21" s="119" t="s">
        <v>64</v>
      </c>
      <c r="N21" s="123" t="s">
        <v>65</v>
      </c>
      <c r="O21" s="122" t="s">
        <v>61</v>
      </c>
      <c r="P21" s="119" t="s">
        <v>64</v>
      </c>
      <c r="Q21" s="123" t="s">
        <v>66</v>
      </c>
      <c r="R21" s="122" t="s">
        <v>61</v>
      </c>
      <c r="S21" s="119" t="s">
        <v>64</v>
      </c>
      <c r="T21" s="123" t="s">
        <v>65</v>
      </c>
      <c r="U21" s="122" t="s">
        <v>61</v>
      </c>
      <c r="V21" s="119" t="s">
        <v>64</v>
      </c>
      <c r="W21" s="123" t="s">
        <v>65</v>
      </c>
      <c r="X21" s="122" t="s">
        <v>61</v>
      </c>
      <c r="Y21" s="110" t="s">
        <v>65</v>
      </c>
      <c r="Z21" s="254" t="s">
        <v>68</v>
      </c>
      <c r="AA21" s="63"/>
      <c r="AE21" s="56"/>
      <c r="AF21" s="133" t="s">
        <v>16</v>
      </c>
      <c r="AG21" s="134" t="s">
        <v>15</v>
      </c>
      <c r="AH21" s="134" t="s">
        <v>69</v>
      </c>
      <c r="AI21" s="135" t="s">
        <v>122</v>
      </c>
      <c r="AJ21" s="136" t="s">
        <v>34</v>
      </c>
    </row>
    <row r="22" spans="1:39" ht="15" thickTop="1" x14ac:dyDescent="0.35">
      <c r="A22" s="54" t="str">
        <f>A10</f>
        <v>rakennus 1</v>
      </c>
      <c r="B22" s="54" t="str">
        <f>B10</f>
        <v>001-100</v>
      </c>
      <c r="C22">
        <f>C10</f>
        <v>0</v>
      </c>
      <c r="D22" s="125"/>
      <c r="E22" s="57">
        <f>D22*Kertoimet!$C$45/1000</f>
        <v>0</v>
      </c>
      <c r="F22" s="124" t="e">
        <f t="shared" ref="F22:F27" si="8">E22/$C10*1000</f>
        <v>#DIV/0!</v>
      </c>
      <c r="G22" s="125"/>
      <c r="H22" s="57">
        <f>G22*Kertoimet!$C$46/1000</f>
        <v>0</v>
      </c>
      <c r="I22" s="124" t="e">
        <f t="shared" ref="I22:I27" si="9">H22/$C10*1000</f>
        <v>#DIV/0!</v>
      </c>
      <c r="J22" s="125"/>
      <c r="K22" s="57">
        <f>J22*Kertoimet!$C$47/1000</f>
        <v>0</v>
      </c>
      <c r="L22" s="124" t="e">
        <f>K22/$C10*1000</f>
        <v>#DIV/0!</v>
      </c>
      <c r="M22" s="125"/>
      <c r="N22" s="57">
        <f>M22*Kertoimet!$C$48/1000</f>
        <v>0</v>
      </c>
      <c r="O22" s="124" t="e">
        <f>N22/$C10*1000</f>
        <v>#DIV/0!</v>
      </c>
      <c r="P22" s="125"/>
      <c r="Q22" s="57">
        <f>P22*Kertoimet!$C$49/1000</f>
        <v>0</v>
      </c>
      <c r="R22" s="124" t="e">
        <f>Q22/$C10*1000</f>
        <v>#DIV/0!</v>
      </c>
      <c r="S22" s="125"/>
      <c r="T22" s="57">
        <f>S22*Kertoimet!$C$50/1000</f>
        <v>0</v>
      </c>
      <c r="U22" s="124" t="e">
        <f>T22/$C10*1000</f>
        <v>#DIV/0!</v>
      </c>
      <c r="V22" s="125"/>
      <c r="W22" s="57">
        <f>V22*Kertoimet!$C$51/1000</f>
        <v>0</v>
      </c>
      <c r="X22" s="124" t="e">
        <f>W22/$C10*1000</f>
        <v>#DIV/0!</v>
      </c>
      <c r="Y22" s="101">
        <f>N22+K22+H22+E22+V10+L10+G10+Q10+Q22+T22+W22</f>
        <v>0</v>
      </c>
      <c r="Z22" t="e">
        <f t="shared" ref="Z22:Z27" si="10">Y22*1000/C10</f>
        <v>#DIV/0!</v>
      </c>
      <c r="AA22" s="63"/>
      <c r="AF22" s="63"/>
      <c r="AI22" s="114" t="e">
        <f>Z28</f>
        <v>#DIV/0!</v>
      </c>
      <c r="AJ22" s="64" t="e">
        <f>AH22*AI22/1000</f>
        <v>#DIV/0!</v>
      </c>
    </row>
    <row r="23" spans="1:39" x14ac:dyDescent="0.35">
      <c r="A23" s="54" t="str">
        <f t="shared" ref="A23:C23" si="11">A11</f>
        <v>rakennus 2</v>
      </c>
      <c r="B23" s="54" t="str">
        <f t="shared" si="11"/>
        <v>002-200</v>
      </c>
      <c r="C23">
        <f t="shared" si="11"/>
        <v>0</v>
      </c>
      <c r="D23" s="115"/>
      <c r="E23" s="57">
        <f>D23*Kertoimet!$C$45/1000</f>
        <v>0</v>
      </c>
      <c r="F23" t="e">
        <f t="shared" si="8"/>
        <v>#DIV/0!</v>
      </c>
      <c r="G23" s="115"/>
      <c r="H23" s="57">
        <f>G23*Kertoimet!$C$46/1000</f>
        <v>0</v>
      </c>
      <c r="I23" t="e">
        <f t="shared" si="9"/>
        <v>#DIV/0!</v>
      </c>
      <c r="J23" s="115"/>
      <c r="K23" s="57">
        <f>J23*Kertoimet!$C$47/1000</f>
        <v>0</v>
      </c>
      <c r="L23" t="e">
        <f t="shared" ref="L23:L27" si="12">K23/$C11*1000</f>
        <v>#DIV/0!</v>
      </c>
      <c r="M23" s="115"/>
      <c r="N23" s="57">
        <f>M23*Kertoimet!$C$48/1000</f>
        <v>0</v>
      </c>
      <c r="O23" t="e">
        <f t="shared" ref="O23:O27" si="13">N23/$C11*1000</f>
        <v>#DIV/0!</v>
      </c>
      <c r="P23" s="115"/>
      <c r="Q23" s="57">
        <f>P23*Kertoimet!$C$49/1000</f>
        <v>0</v>
      </c>
      <c r="R23" t="e">
        <f t="shared" ref="R23:R27" si="14">Q23/$C11*1000</f>
        <v>#DIV/0!</v>
      </c>
      <c r="S23" s="115"/>
      <c r="T23" s="57">
        <f>S23*Kertoimet!$C$50/1000</f>
        <v>0</v>
      </c>
      <c r="U23" t="e">
        <f t="shared" ref="U23:U27" si="15">T23/$C11*1000</f>
        <v>#DIV/0!</v>
      </c>
      <c r="V23" s="115"/>
      <c r="W23" s="57">
        <f>V23*Kertoimet!$C$51/1000</f>
        <v>0</v>
      </c>
      <c r="X23" t="e">
        <f t="shared" ref="X23:X27" si="16">W23/$C11*1000</f>
        <v>#DIV/0!</v>
      </c>
      <c r="Y23" s="101">
        <f t="shared" ref="Y23:Y27" si="17">N23+K23+H23+E23+V11+L11+G11+Q11+Q23+T23+W23</f>
        <v>0</v>
      </c>
      <c r="Z23" t="e">
        <f t="shared" si="10"/>
        <v>#DIV/0!</v>
      </c>
      <c r="AA23" s="63"/>
      <c r="AF23" s="63"/>
      <c r="AI23" s="114" t="e">
        <f>Z28</f>
        <v>#DIV/0!</v>
      </c>
      <c r="AJ23" s="64" t="e">
        <f>AH23*AI23/1000</f>
        <v>#DIV/0!</v>
      </c>
    </row>
    <row r="24" spans="1:39" x14ac:dyDescent="0.35">
      <c r="A24" s="54" t="str">
        <f t="shared" ref="A24:C24" si="18">A12</f>
        <v>rakennus 3</v>
      </c>
      <c r="B24" s="54" t="str">
        <f t="shared" si="18"/>
        <v>003-300</v>
      </c>
      <c r="C24">
        <f t="shared" si="18"/>
        <v>0</v>
      </c>
      <c r="D24" s="117"/>
      <c r="E24" s="57">
        <f>D24*Kertoimet!$C$45/1000</f>
        <v>0</v>
      </c>
      <c r="F24" t="e">
        <f t="shared" si="8"/>
        <v>#DIV/0!</v>
      </c>
      <c r="G24" s="117"/>
      <c r="H24" s="57">
        <f>G24*Kertoimet!$C$46/1000</f>
        <v>0</v>
      </c>
      <c r="I24" t="e">
        <f t="shared" si="9"/>
        <v>#DIV/0!</v>
      </c>
      <c r="J24" s="117"/>
      <c r="K24" s="57">
        <f>J24*Kertoimet!$C$47/1000</f>
        <v>0</v>
      </c>
      <c r="L24" t="e">
        <f t="shared" si="12"/>
        <v>#DIV/0!</v>
      </c>
      <c r="M24" s="117"/>
      <c r="N24" s="57">
        <f>M24*Kertoimet!$C$48/1000</f>
        <v>0</v>
      </c>
      <c r="O24" t="e">
        <f t="shared" si="13"/>
        <v>#DIV/0!</v>
      </c>
      <c r="P24" s="117"/>
      <c r="Q24" s="57">
        <f>P24*Kertoimet!$C$49/1000</f>
        <v>0</v>
      </c>
      <c r="R24" t="e">
        <f t="shared" si="14"/>
        <v>#DIV/0!</v>
      </c>
      <c r="S24" s="117"/>
      <c r="T24" s="57">
        <f>S24*Kertoimet!$C$50/1000</f>
        <v>0</v>
      </c>
      <c r="U24" t="e">
        <f t="shared" si="15"/>
        <v>#DIV/0!</v>
      </c>
      <c r="V24" s="117"/>
      <c r="W24" s="57">
        <f>V24*Kertoimet!$C$51/1000</f>
        <v>0</v>
      </c>
      <c r="X24" t="e">
        <f t="shared" si="16"/>
        <v>#DIV/0!</v>
      </c>
      <c r="Y24" s="101">
        <f>N24+K24+H24+E24+V12+L12+G12+Q12+Q24+T24+W24</f>
        <v>0</v>
      </c>
      <c r="Z24" t="e">
        <f t="shared" si="10"/>
        <v>#DIV/0!</v>
      </c>
      <c r="AA24" s="63"/>
      <c r="AF24" s="63"/>
      <c r="AI24" s="114" t="e">
        <f>Z28</f>
        <v>#DIV/0!</v>
      </c>
      <c r="AJ24" s="64" t="e">
        <f>AH24*AI24/1000</f>
        <v>#DIV/0!</v>
      </c>
    </row>
    <row r="25" spans="1:39" x14ac:dyDescent="0.35">
      <c r="A25" s="54" t="str">
        <f t="shared" ref="A25:C25" si="19">A13</f>
        <v>rakennus 4</v>
      </c>
      <c r="B25" s="54" t="str">
        <f t="shared" si="19"/>
        <v>004-400</v>
      </c>
      <c r="C25">
        <f t="shared" si="19"/>
        <v>0</v>
      </c>
      <c r="D25" s="117"/>
      <c r="E25" s="57">
        <f>D25*Kertoimet!$C$45/1000</f>
        <v>0</v>
      </c>
      <c r="F25" t="e">
        <f t="shared" si="8"/>
        <v>#DIV/0!</v>
      </c>
      <c r="G25" s="117"/>
      <c r="H25" s="57">
        <f>G25*Kertoimet!$C$46/1000</f>
        <v>0</v>
      </c>
      <c r="I25" t="e">
        <f t="shared" si="9"/>
        <v>#DIV/0!</v>
      </c>
      <c r="J25" s="117"/>
      <c r="K25" s="57">
        <f>J25*Kertoimet!$C$47/1000</f>
        <v>0</v>
      </c>
      <c r="L25" t="e">
        <f>K25/$C13*1000</f>
        <v>#DIV/0!</v>
      </c>
      <c r="M25" s="117"/>
      <c r="N25" s="57">
        <f>M25*Kertoimet!$C$48/1000</f>
        <v>0</v>
      </c>
      <c r="O25" t="e">
        <f>N25/$C13*1000</f>
        <v>#DIV/0!</v>
      </c>
      <c r="P25" s="117"/>
      <c r="Q25" s="57">
        <f>P25*Kertoimet!$C$49/1000</f>
        <v>0</v>
      </c>
      <c r="R25" t="e">
        <f>Q25/$C13*1000</f>
        <v>#DIV/0!</v>
      </c>
      <c r="S25" s="117"/>
      <c r="T25" s="57">
        <f>S25*Kertoimet!$C$50/1000</f>
        <v>0</v>
      </c>
      <c r="U25" t="e">
        <f>T25/$C13*1000</f>
        <v>#DIV/0!</v>
      </c>
      <c r="V25" s="117"/>
      <c r="W25" s="57">
        <f>V25*Kertoimet!$C$51/1000</f>
        <v>0</v>
      </c>
      <c r="X25" t="e">
        <f>W25/$C13*1000</f>
        <v>#DIV/0!</v>
      </c>
      <c r="Y25" s="101">
        <f t="shared" si="17"/>
        <v>0</v>
      </c>
      <c r="Z25" t="e">
        <f t="shared" si="10"/>
        <v>#DIV/0!</v>
      </c>
      <c r="AA25" s="63"/>
      <c r="AF25" s="63"/>
      <c r="AI25" s="114" t="e">
        <f>Z28</f>
        <v>#DIV/0!</v>
      </c>
      <c r="AJ25" s="64" t="e">
        <f>AH25*AI25/1000</f>
        <v>#DIV/0!</v>
      </c>
    </row>
    <row r="26" spans="1:39" x14ac:dyDescent="0.35">
      <c r="A26" s="54" t="str">
        <f t="shared" ref="A26:C26" si="20">A14</f>
        <v>rakennus 5</v>
      </c>
      <c r="B26" s="54" t="str">
        <f t="shared" si="20"/>
        <v>005-500</v>
      </c>
      <c r="C26">
        <f t="shared" si="20"/>
        <v>0</v>
      </c>
      <c r="D26" s="117"/>
      <c r="E26" s="57">
        <f>D26*Kertoimet!$C$45/1000</f>
        <v>0</v>
      </c>
      <c r="F26" t="e">
        <f t="shared" si="8"/>
        <v>#DIV/0!</v>
      </c>
      <c r="G26" s="117"/>
      <c r="H26" s="57">
        <f>G26*Kertoimet!$C$46/1000</f>
        <v>0</v>
      </c>
      <c r="I26" t="e">
        <f t="shared" si="9"/>
        <v>#DIV/0!</v>
      </c>
      <c r="J26" s="117"/>
      <c r="K26" s="57">
        <f>J26*Kertoimet!$C$47/1000</f>
        <v>0</v>
      </c>
      <c r="L26" t="e">
        <f t="shared" si="12"/>
        <v>#DIV/0!</v>
      </c>
      <c r="M26" s="117"/>
      <c r="N26" s="57">
        <f>M26*Kertoimet!$C$48/1000</f>
        <v>0</v>
      </c>
      <c r="O26" t="e">
        <f t="shared" si="13"/>
        <v>#DIV/0!</v>
      </c>
      <c r="P26" s="117"/>
      <c r="Q26" s="57">
        <f>P26*Kertoimet!$C$49/1000</f>
        <v>0</v>
      </c>
      <c r="R26" t="e">
        <f t="shared" si="14"/>
        <v>#DIV/0!</v>
      </c>
      <c r="S26" s="117"/>
      <c r="T26" s="57">
        <f>S26*Kertoimet!$C$50/1000</f>
        <v>0</v>
      </c>
      <c r="U26" t="e">
        <f t="shared" si="15"/>
        <v>#DIV/0!</v>
      </c>
      <c r="V26" s="117"/>
      <c r="W26" s="57">
        <f>V26*Kertoimet!$C$51/1000</f>
        <v>0</v>
      </c>
      <c r="X26" t="e">
        <f t="shared" si="16"/>
        <v>#DIV/0!</v>
      </c>
      <c r="Y26" s="101">
        <f t="shared" si="17"/>
        <v>0</v>
      </c>
      <c r="Z26" t="e">
        <f t="shared" si="10"/>
        <v>#DIV/0!</v>
      </c>
      <c r="AA26" s="63"/>
      <c r="AF26" s="65"/>
      <c r="AG26" s="59"/>
      <c r="AH26" s="59"/>
      <c r="AI26" s="171" t="e">
        <f>Z28</f>
        <v>#DIV/0!</v>
      </c>
      <c r="AJ26" s="66" t="e">
        <f>AH26*AI26/1000</f>
        <v>#DIV/0!</v>
      </c>
    </row>
    <row r="27" spans="1:39" ht="15" thickBot="1" x14ac:dyDescent="0.4">
      <c r="A27" s="105" t="str">
        <f t="shared" ref="A27:C27" si="21">A15</f>
        <v>rakennus 6</v>
      </c>
      <c r="B27" s="105" t="str">
        <f t="shared" si="21"/>
        <v>006-600</v>
      </c>
      <c r="C27">
        <f t="shared" si="21"/>
        <v>0</v>
      </c>
      <c r="D27" s="126"/>
      <c r="E27" s="57">
        <f>D27*Kertoimet!$C$45/1000</f>
        <v>0</v>
      </c>
      <c r="F27" t="e">
        <f t="shared" si="8"/>
        <v>#DIV/0!</v>
      </c>
      <c r="G27" s="126"/>
      <c r="H27" s="57">
        <f>G27*Kertoimet!$C$46/1000</f>
        <v>0</v>
      </c>
      <c r="I27" t="e">
        <f t="shared" si="9"/>
        <v>#DIV/0!</v>
      </c>
      <c r="J27" s="126"/>
      <c r="K27" s="57">
        <f>J27*Kertoimet!$C$47/1000</f>
        <v>0</v>
      </c>
      <c r="L27" t="e">
        <f t="shared" si="12"/>
        <v>#DIV/0!</v>
      </c>
      <c r="M27" s="126"/>
      <c r="N27" s="57">
        <f>M27*Kertoimet!$C$48/1000</f>
        <v>0</v>
      </c>
      <c r="O27" t="e">
        <f t="shared" si="13"/>
        <v>#DIV/0!</v>
      </c>
      <c r="P27" s="126"/>
      <c r="Q27" s="57">
        <f>P27*Kertoimet!$C$49/1000</f>
        <v>0</v>
      </c>
      <c r="R27" t="e">
        <f t="shared" si="14"/>
        <v>#DIV/0!</v>
      </c>
      <c r="S27" s="126"/>
      <c r="T27" s="57">
        <f>S27*Kertoimet!$C$50/1000</f>
        <v>0</v>
      </c>
      <c r="U27" t="e">
        <f t="shared" si="15"/>
        <v>#DIV/0!</v>
      </c>
      <c r="V27" s="126"/>
      <c r="W27" s="57">
        <f>V27*Kertoimet!$C$51/1000</f>
        <v>0</v>
      </c>
      <c r="X27" t="e">
        <f t="shared" si="16"/>
        <v>#DIV/0!</v>
      </c>
      <c r="Y27" s="101">
        <f t="shared" si="17"/>
        <v>0</v>
      </c>
      <c r="Z27" t="e">
        <f t="shared" si="10"/>
        <v>#DIV/0!</v>
      </c>
      <c r="AA27" s="65"/>
      <c r="AF27" s="65"/>
      <c r="AG27" s="59"/>
      <c r="AH27" s="59"/>
      <c r="AI27" s="60" t="s">
        <v>7</v>
      </c>
      <c r="AJ27" s="67" t="e">
        <f>SUM(AJ22:AJ26)</f>
        <v>#DIV/0!</v>
      </c>
    </row>
    <row r="28" spans="1:39" ht="47.5" thickBot="1" x14ac:dyDescent="0.4">
      <c r="C28" s="106">
        <f>SUM(C22:C27)</f>
        <v>0</v>
      </c>
      <c r="D28" s="106">
        <f>SUM(D22:D27)</f>
        <v>0</v>
      </c>
      <c r="E28" s="106">
        <f>SUM(E22:E27)</f>
        <v>0</v>
      </c>
      <c r="F28" s="106"/>
      <c r="G28" s="106">
        <f>SUM(G22:G27)</f>
        <v>0</v>
      </c>
      <c r="H28" s="106">
        <f>SUM(H22:H27)</f>
        <v>0</v>
      </c>
      <c r="I28" s="106"/>
      <c r="J28" s="106">
        <f>SUM(J22:J27)</f>
        <v>0</v>
      </c>
      <c r="K28" s="106">
        <f>SUM(K22:K27)</f>
        <v>0</v>
      </c>
      <c r="L28" s="106"/>
      <c r="M28" s="106">
        <f>SUM(M22:M27)</f>
        <v>0</v>
      </c>
      <c r="N28" s="58">
        <f>SUM(N22:N27)</f>
        <v>0</v>
      </c>
      <c r="O28" s="106"/>
      <c r="P28" s="106">
        <f>SUM(P22:P27)</f>
        <v>0</v>
      </c>
      <c r="Q28" s="106">
        <f>SUM(Q22:Q27)</f>
        <v>0</v>
      </c>
      <c r="R28" s="106"/>
      <c r="S28" s="106">
        <f>SUM(S22:S27)</f>
        <v>0</v>
      </c>
      <c r="T28" s="106">
        <f>SUM(T22:T27)</f>
        <v>0</v>
      </c>
      <c r="U28" s="106"/>
      <c r="V28" s="106">
        <f>SUM(V22:V27)</f>
        <v>0</v>
      </c>
      <c r="W28" s="58">
        <f>SUM(W22:W27)</f>
        <v>0</v>
      </c>
      <c r="X28" s="106"/>
      <c r="Y28" s="109">
        <f>SUM(Y22:Y27)</f>
        <v>0</v>
      </c>
      <c r="Z28" s="108" t="e">
        <f>AVERAGEIF(Z22:Z27,"&gt;0")</f>
        <v>#DIV/0!</v>
      </c>
      <c r="AA28" s="215" t="s">
        <v>205</v>
      </c>
      <c r="AB28" s="259" t="s">
        <v>298</v>
      </c>
      <c r="AC28" s="259"/>
      <c r="AE28" s="103"/>
    </row>
    <row r="29" spans="1:39" ht="61" x14ac:dyDescent="0.45">
      <c r="Z29" s="227" t="e">
        <f>Y28/C16</f>
        <v>#DIV/0!</v>
      </c>
      <c r="AA29" s="228" t="s">
        <v>236</v>
      </c>
      <c r="AB29" s="259" t="s">
        <v>237</v>
      </c>
      <c r="AC29" s="259"/>
    </row>
    <row r="32" spans="1:39" x14ac:dyDescent="0.35">
      <c r="A32" s="54"/>
    </row>
  </sheetData>
  <mergeCells count="2">
    <mergeCell ref="AB28:AC28"/>
    <mergeCell ref="AB29:AC29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Lämmitys" prompt="Valitse lämmityksen päästökerroin" xr:uid="{00000000-0002-0000-0200-000000000000}">
          <x14:formula1>
            <xm:f>Kertoimet!$B$6:$B$13</xm:f>
          </x14:formula1>
          <xm:sqref>E10:E15</xm:sqref>
        </x14:dataValidation>
        <x14:dataValidation type="list" allowBlank="1" showInputMessage="1" showErrorMessage="1" promptTitle="Sähkö" prompt="Valitse sähkön päästökerroin" xr:uid="{00000000-0002-0000-0200-000001000000}">
          <x14:formula1>
            <xm:f>Kertoimet!$B$17:$B$24</xm:f>
          </x14:formula1>
          <xm:sqref>J10:J15</xm:sqref>
        </x14:dataValidation>
        <x14:dataValidation type="list" allowBlank="1" showInputMessage="1" showErrorMessage="1" promptTitle="Jäähdytys" prompt="Valitse jäähdytyksen muoto" xr:uid="{00000000-0002-0000-0200-000002000000}">
          <x14:formula1>
            <xm:f>Kertoimet!$B$28:$B$35</xm:f>
          </x14:formula1>
          <xm:sqref>O10:O15</xm:sqref>
        </x14:dataValidation>
        <x14:dataValidation type="list" allowBlank="1" showInputMessage="1" showErrorMessage="1" xr:uid="{00000000-0002-0000-0200-000003000000}">
          <x14:formula1>
            <xm:f>Kertoimet!$B$42:$B$42</xm:f>
          </x14:formula1>
          <xm:sqref>T10:T15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activeCell="E1" sqref="E1"/>
    </sheetView>
  </sheetViews>
  <sheetFormatPr defaultRowHeight="14.5" x14ac:dyDescent="0.35"/>
  <cols>
    <col min="1" max="1" width="27.81640625" customWidth="1"/>
    <col min="2" max="2" width="14.81640625" customWidth="1"/>
    <col min="3" max="3" width="13.26953125" customWidth="1"/>
    <col min="5" max="5" width="53.81640625" customWidth="1"/>
    <col min="10" max="10" width="8.453125" customWidth="1"/>
  </cols>
  <sheetData>
    <row r="1" spans="1:14" s="129" customFormat="1" ht="18.5" x14ac:dyDescent="0.45">
      <c r="A1" s="129" t="s">
        <v>135</v>
      </c>
      <c r="D1" s="213" t="s">
        <v>309</v>
      </c>
      <c r="E1" s="216" t="s">
        <v>307</v>
      </c>
      <c r="F1" s="213"/>
      <c r="G1" s="216"/>
      <c r="H1" s="216"/>
    </row>
    <row r="2" spans="1:14" s="38" customFormat="1" ht="18.5" x14ac:dyDescent="0.45">
      <c r="A2" s="38" t="str">
        <f>Matkustaminen!A2</f>
        <v>[Amkin nimi tähän]</v>
      </c>
      <c r="C2"/>
      <c r="E2" s="268" t="s">
        <v>308</v>
      </c>
    </row>
    <row r="3" spans="1:14" ht="84.5" x14ac:dyDescent="0.35">
      <c r="A3" s="102" t="s">
        <v>310</v>
      </c>
      <c r="B3" s="84" t="s">
        <v>297</v>
      </c>
      <c r="C3" s="54" t="s">
        <v>250</v>
      </c>
      <c r="D3" s="84" t="s">
        <v>119</v>
      </c>
      <c r="E3" s="87"/>
    </row>
    <row r="4" spans="1:14" ht="17" thickBot="1" x14ac:dyDescent="0.5">
      <c r="A4" s="102"/>
      <c r="B4" s="113" t="s">
        <v>64</v>
      </c>
      <c r="D4" s="113" t="s">
        <v>120</v>
      </c>
      <c r="E4" s="234"/>
      <c r="F4" s="232"/>
      <c r="G4" s="232"/>
      <c r="H4" s="232"/>
      <c r="I4" s="232"/>
      <c r="J4" s="232"/>
    </row>
    <row r="5" spans="1:14" ht="15.5" thickTop="1" thickBot="1" x14ac:dyDescent="0.4">
      <c r="A5" s="236" t="s">
        <v>241</v>
      </c>
      <c r="B5" s="85"/>
      <c r="C5" s="218"/>
      <c r="D5" s="230">
        <f>(B5)*Kertoimet!C100/1000</f>
        <v>0</v>
      </c>
      <c r="E5" s="217" t="s">
        <v>203</v>
      </c>
      <c r="F5" s="232"/>
      <c r="G5" s="233"/>
      <c r="H5" s="233"/>
      <c r="I5" s="233"/>
      <c r="J5" s="217"/>
      <c r="K5" s="217"/>
      <c r="L5" s="217"/>
      <c r="M5" s="217"/>
      <c r="N5" s="220"/>
    </row>
    <row r="6" spans="1:14" ht="30" thickTop="1" thickBot="1" x14ac:dyDescent="0.4">
      <c r="A6" s="237" t="s">
        <v>242</v>
      </c>
      <c r="B6" s="85"/>
      <c r="C6" s="218"/>
      <c r="D6" s="230">
        <f>(B6)*Kertoimet!C101/1000</f>
        <v>0</v>
      </c>
      <c r="E6" s="260" t="s">
        <v>256</v>
      </c>
      <c r="F6" s="260"/>
      <c r="G6" s="260"/>
      <c r="H6" s="260"/>
      <c r="I6" s="260"/>
      <c r="J6" s="260"/>
      <c r="K6" s="78"/>
    </row>
    <row r="7" spans="1:14" ht="15.5" thickTop="1" thickBot="1" x14ac:dyDescent="0.4">
      <c r="A7" s="88" t="s">
        <v>75</v>
      </c>
      <c r="B7" s="86"/>
      <c r="C7" s="219"/>
      <c r="D7" s="230">
        <f>(B7)*Kertoimet!C102/1000</f>
        <v>0</v>
      </c>
      <c r="E7" s="88" t="s">
        <v>76</v>
      </c>
      <c r="F7" s="232"/>
      <c r="G7" s="88"/>
      <c r="H7" s="88"/>
      <c r="I7" s="88"/>
      <c r="J7" s="78"/>
      <c r="K7" s="78"/>
    </row>
    <row r="8" spans="1:14" ht="27.5" thickTop="1" thickBot="1" x14ac:dyDescent="0.4">
      <c r="A8" s="237" t="s">
        <v>243</v>
      </c>
      <c r="B8" s="86"/>
      <c r="C8" s="219"/>
      <c r="D8" s="230">
        <f>(B8)*Kertoimet!C103/1000</f>
        <v>0</v>
      </c>
      <c r="E8" s="260" t="s">
        <v>257</v>
      </c>
      <c r="F8" s="260"/>
      <c r="G8" s="260"/>
      <c r="H8" s="260"/>
      <c r="I8" s="260"/>
      <c r="J8" s="260"/>
      <c r="K8" s="78"/>
    </row>
    <row r="9" spans="1:14" ht="15.5" thickTop="1" thickBot="1" x14ac:dyDescent="0.4">
      <c r="A9" s="88" t="s">
        <v>244</v>
      </c>
      <c r="B9" s="86"/>
      <c r="C9" s="219"/>
      <c r="D9" s="230">
        <f>(B9)*Kertoimet!C104/1000</f>
        <v>0</v>
      </c>
      <c r="E9" s="88" t="s">
        <v>202</v>
      </c>
      <c r="F9" s="232"/>
      <c r="G9" s="88"/>
      <c r="H9" s="88"/>
      <c r="I9" s="88"/>
      <c r="J9" s="243"/>
      <c r="K9" s="78"/>
    </row>
    <row r="10" spans="1:14" ht="15.5" thickTop="1" thickBot="1" x14ac:dyDescent="0.4">
      <c r="A10" s="88" t="s">
        <v>74</v>
      </c>
      <c r="B10" s="86"/>
      <c r="C10" s="219"/>
      <c r="D10" s="230">
        <f>(B10)*Kertoimet!C105/1000</f>
        <v>0</v>
      </c>
      <c r="E10" s="241" t="s">
        <v>255</v>
      </c>
      <c r="F10" s="232"/>
      <c r="G10" s="88"/>
      <c r="H10" s="88"/>
      <c r="I10" s="242"/>
      <c r="J10" s="242"/>
      <c r="K10" s="242"/>
    </row>
    <row r="11" spans="1:14" ht="17.5" thickTop="1" thickBot="1" x14ac:dyDescent="0.4">
      <c r="A11" s="177" t="s">
        <v>252</v>
      </c>
      <c r="B11" s="86"/>
      <c r="C11" s="219"/>
      <c r="D11" s="230">
        <f>(B11)*Kertoimet!C106/1000</f>
        <v>0</v>
      </c>
      <c r="E11" s="261" t="s">
        <v>245</v>
      </c>
      <c r="F11" s="262"/>
      <c r="G11" s="262"/>
      <c r="H11" s="262"/>
      <c r="I11" s="262"/>
      <c r="J11" s="262"/>
      <c r="K11" s="262"/>
      <c r="L11" s="262"/>
      <c r="M11" s="262"/>
      <c r="N11" s="262"/>
    </row>
    <row r="12" spans="1:14" x14ac:dyDescent="0.35">
      <c r="A12" s="79" t="s">
        <v>7</v>
      </c>
      <c r="B12" s="87">
        <f>SUM(B5:B11)</f>
        <v>0</v>
      </c>
      <c r="C12" s="87">
        <f>SUM(C5:C11)</f>
        <v>0</v>
      </c>
      <c r="D12" s="231">
        <f>SUM(D5:D11)</f>
        <v>0</v>
      </c>
      <c r="E12" s="87"/>
    </row>
    <row r="13" spans="1:14" ht="45.65" customHeight="1" x14ac:dyDescent="0.35">
      <c r="A13" s="263" t="s">
        <v>208</v>
      </c>
      <c r="B13" s="263"/>
      <c r="C13" s="263"/>
      <c r="D13" s="263"/>
      <c r="E13" s="263"/>
    </row>
    <row r="14" spans="1:14" x14ac:dyDescent="0.35">
      <c r="A14" s="83"/>
    </row>
    <row r="15" spans="1:14" ht="16.5" x14ac:dyDescent="0.35">
      <c r="A15" s="83" t="s">
        <v>251</v>
      </c>
    </row>
    <row r="16" spans="1:14" x14ac:dyDescent="0.35">
      <c r="A16" s="229" t="s">
        <v>246</v>
      </c>
    </row>
    <row r="17" spans="1:7" x14ac:dyDescent="0.35">
      <c r="A17" s="221"/>
    </row>
    <row r="18" spans="1:7" x14ac:dyDescent="0.35">
      <c r="A18" t="s">
        <v>247</v>
      </c>
    </row>
    <row r="19" spans="1:7" x14ac:dyDescent="0.35">
      <c r="A19" t="s">
        <v>248</v>
      </c>
    </row>
    <row r="20" spans="1:7" x14ac:dyDescent="0.35">
      <c r="A20" s="83" t="s">
        <v>249</v>
      </c>
    </row>
    <row r="22" spans="1:7" ht="16.5" x14ac:dyDescent="0.35">
      <c r="A22" s="238" t="s">
        <v>253</v>
      </c>
      <c r="G22" s="58" t="s">
        <v>266</v>
      </c>
    </row>
    <row r="23" spans="1:7" x14ac:dyDescent="0.35">
      <c r="A23" t="s">
        <v>254</v>
      </c>
      <c r="G23" s="239" t="s">
        <v>258</v>
      </c>
    </row>
    <row r="24" spans="1:7" x14ac:dyDescent="0.35">
      <c r="A24" t="s">
        <v>238</v>
      </c>
      <c r="G24" s="239" t="s">
        <v>259</v>
      </c>
    </row>
    <row r="25" spans="1:7" x14ac:dyDescent="0.35">
      <c r="G25" s="239" t="s">
        <v>267</v>
      </c>
    </row>
    <row r="26" spans="1:7" x14ac:dyDescent="0.35">
      <c r="A26" s="214" t="s">
        <v>265</v>
      </c>
      <c r="G26" s="239" t="s">
        <v>260</v>
      </c>
    </row>
    <row r="27" spans="1:7" x14ac:dyDescent="0.35">
      <c r="A27" s="214" t="s">
        <v>204</v>
      </c>
      <c r="G27" s="239" t="s">
        <v>261</v>
      </c>
    </row>
    <row r="28" spans="1:7" x14ac:dyDescent="0.35">
      <c r="G28" s="239" t="s">
        <v>262</v>
      </c>
    </row>
    <row r="29" spans="1:7" x14ac:dyDescent="0.35">
      <c r="G29" s="239" t="s">
        <v>263</v>
      </c>
    </row>
    <row r="30" spans="1:7" x14ac:dyDescent="0.35">
      <c r="G30" s="239" t="s">
        <v>264</v>
      </c>
    </row>
  </sheetData>
  <mergeCells count="4">
    <mergeCell ref="E6:J6"/>
    <mergeCell ref="E8:J8"/>
    <mergeCell ref="E11:N11"/>
    <mergeCell ref="A13:E13"/>
  </mergeCells>
  <hyperlinks>
    <hyperlink ref="E1" r:id="rId1" xr:uid="{2894BD40-D4F8-466E-875B-B7F0DD22FF55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0"/>
  <sheetViews>
    <sheetView zoomScale="80" workbookViewId="0">
      <selection activeCell="G12" sqref="G12"/>
    </sheetView>
  </sheetViews>
  <sheetFormatPr defaultRowHeight="14.5" x14ac:dyDescent="0.35"/>
  <cols>
    <col min="6" max="6" width="12" customWidth="1"/>
    <col min="7" max="7" width="8.7265625" customWidth="1"/>
    <col min="19" max="19" width="18.1796875" customWidth="1"/>
    <col min="20" max="20" width="8.81640625" bestFit="1" customWidth="1"/>
    <col min="21" max="21" width="9.1796875" bestFit="1" customWidth="1"/>
  </cols>
  <sheetData>
    <row r="1" spans="1:21" s="114" customFormat="1" ht="15.5" x14ac:dyDescent="0.35">
      <c r="A1" s="195" t="s">
        <v>299</v>
      </c>
    </row>
    <row r="2" spans="1:21" ht="15" thickBot="1" x14ac:dyDescent="0.4"/>
    <row r="3" spans="1:21" ht="21" x14ac:dyDescent="0.5">
      <c r="A3" s="61" t="str">
        <f>Matkustaminen!A2</f>
        <v>[Amkin nimi tähän]</v>
      </c>
      <c r="E3" s="200" t="s">
        <v>179</v>
      </c>
      <c r="F3" s="201"/>
      <c r="G3" s="202" t="s">
        <v>47</v>
      </c>
      <c r="H3" s="201"/>
      <c r="I3" s="203"/>
    </row>
    <row r="4" spans="1:21" x14ac:dyDescent="0.35">
      <c r="E4" s="204"/>
      <c r="F4" s="205"/>
      <c r="G4" s="206" t="s">
        <v>180</v>
      </c>
      <c r="H4" s="205"/>
      <c r="I4" s="207"/>
    </row>
    <row r="5" spans="1:21" ht="15" thickBot="1" x14ac:dyDescent="0.4">
      <c r="E5" s="208"/>
      <c r="F5" s="209"/>
      <c r="G5" s="210" t="s">
        <v>300</v>
      </c>
      <c r="H5" s="209"/>
      <c r="I5" s="211"/>
      <c r="S5" s="150"/>
      <c r="T5" s="151" t="s">
        <v>127</v>
      </c>
      <c r="U5" s="152" t="s">
        <v>128</v>
      </c>
    </row>
    <row r="6" spans="1:21" x14ac:dyDescent="0.35">
      <c r="S6" s="153" t="s">
        <v>129</v>
      </c>
      <c r="T6" s="154">
        <f>Kiinteistöt!L16</f>
        <v>0</v>
      </c>
      <c r="U6" s="155" t="e">
        <f>T6/$T$20</f>
        <v>#DIV/0!</v>
      </c>
    </row>
    <row r="7" spans="1:21" x14ac:dyDescent="0.35">
      <c r="B7" s="141" t="s">
        <v>17</v>
      </c>
      <c r="C7" s="142"/>
      <c r="D7" s="142"/>
      <c r="E7" s="142"/>
      <c r="F7" s="142"/>
      <c r="G7" s="69">
        <f>Matkustaminen!D57</f>
        <v>0</v>
      </c>
      <c r="H7" s="142"/>
      <c r="S7" s="153" t="s">
        <v>50</v>
      </c>
      <c r="T7" s="154">
        <f>Kiinteistöt!G16</f>
        <v>0</v>
      </c>
      <c r="U7" s="155" t="e">
        <f t="shared" ref="U7:U19" si="0">T7/$T$20</f>
        <v>#DIV/0!</v>
      </c>
    </row>
    <row r="8" spans="1:21" x14ac:dyDescent="0.35">
      <c r="B8" s="57" t="s">
        <v>123</v>
      </c>
      <c r="C8" s="57"/>
      <c r="D8" s="57"/>
      <c r="E8" s="57"/>
      <c r="F8" s="57"/>
      <c r="G8" s="139">
        <f>Kiinteistöt!Y28</f>
        <v>0</v>
      </c>
      <c r="H8" s="57"/>
      <c r="O8" s="90"/>
      <c r="S8" s="153" t="s">
        <v>4</v>
      </c>
      <c r="T8" s="154">
        <f>Matkustaminen!C9</f>
        <v>0</v>
      </c>
      <c r="U8" s="155" t="e">
        <f t="shared" si="0"/>
        <v>#DIV/0!</v>
      </c>
    </row>
    <row r="9" spans="1:21" x14ac:dyDescent="0.35">
      <c r="B9" s="57" t="s">
        <v>124</v>
      </c>
      <c r="C9" s="57"/>
      <c r="D9" s="57"/>
      <c r="E9" s="57"/>
      <c r="F9" s="57"/>
      <c r="G9" s="140" t="e">
        <f>Kiinteistöt!AJ27</f>
        <v>#DIV/0!</v>
      </c>
      <c r="H9" s="147"/>
      <c r="S9" s="163" t="s">
        <v>135</v>
      </c>
      <c r="T9" s="154">
        <f>Hankinnat!D12-Hankinnat!D11</f>
        <v>0</v>
      </c>
      <c r="U9" s="155" t="e">
        <f t="shared" si="0"/>
        <v>#DIV/0!</v>
      </c>
    </row>
    <row r="10" spans="1:21" x14ac:dyDescent="0.35">
      <c r="B10" s="141" t="s">
        <v>125</v>
      </c>
      <c r="C10" s="142"/>
      <c r="D10" s="142"/>
      <c r="E10" s="142"/>
      <c r="F10" s="142"/>
      <c r="G10" s="69" t="e">
        <f>G8+G9</f>
        <v>#DIV/0!</v>
      </c>
      <c r="H10" s="148"/>
      <c r="S10" s="153" t="s">
        <v>29</v>
      </c>
      <c r="T10" s="154">
        <f>Matkustaminen!D53</f>
        <v>0</v>
      </c>
      <c r="U10" s="155" t="e">
        <f t="shared" si="0"/>
        <v>#DIV/0!</v>
      </c>
    </row>
    <row r="11" spans="1:21" ht="15" thickBot="1" x14ac:dyDescent="0.4">
      <c r="B11" s="143" t="s">
        <v>126</v>
      </c>
      <c r="C11" s="144"/>
      <c r="D11" s="144"/>
      <c r="E11" s="144"/>
      <c r="F11" s="144"/>
      <c r="G11" s="138">
        <f>Hankinnat!D12</f>
        <v>0</v>
      </c>
      <c r="H11" s="149"/>
      <c r="S11" s="153" t="s">
        <v>130</v>
      </c>
      <c r="T11" s="157" t="e">
        <f>Kiinteistöt!AJ27</f>
        <v>#DIV/0!</v>
      </c>
      <c r="U11" s="155" t="e">
        <f t="shared" si="0"/>
        <v>#DIV/0!</v>
      </c>
    </row>
    <row r="12" spans="1:21" ht="28.5" thickTop="1" thickBot="1" x14ac:dyDescent="0.5">
      <c r="B12" s="145" t="s">
        <v>44</v>
      </c>
      <c r="C12" s="146"/>
      <c r="D12" s="146"/>
      <c r="E12" s="146"/>
      <c r="F12" s="146"/>
      <c r="G12" s="137" t="e">
        <f>G7+G10+G11</f>
        <v>#DIV/0!</v>
      </c>
      <c r="H12" s="145" t="s">
        <v>120</v>
      </c>
      <c r="S12" s="153" t="s">
        <v>158</v>
      </c>
      <c r="T12" s="154">
        <f>Kiinteistöt!H28+Kiinteistöt!K28+Kiinteistöt!N28+Kiinteistöt!Q28+Kiinteistöt!T28+Kiinteistöt!W28</f>
        <v>0</v>
      </c>
      <c r="U12" s="155" t="e">
        <f t="shared" si="0"/>
        <v>#DIV/0!</v>
      </c>
    </row>
    <row r="13" spans="1:21" x14ac:dyDescent="0.35">
      <c r="S13" s="153" t="s">
        <v>134</v>
      </c>
      <c r="T13" s="154">
        <f>Matkustaminen!C32</f>
        <v>0</v>
      </c>
      <c r="U13" s="155" t="e">
        <f t="shared" si="0"/>
        <v>#DIV/0!</v>
      </c>
    </row>
    <row r="14" spans="1:21" x14ac:dyDescent="0.35">
      <c r="S14" s="153" t="s">
        <v>53</v>
      </c>
      <c r="T14" s="154">
        <f>Kiinteistöt!E28</f>
        <v>0</v>
      </c>
      <c r="U14" s="155" t="e">
        <f t="shared" si="0"/>
        <v>#DIV/0!</v>
      </c>
    </row>
    <row r="15" spans="1:21" x14ac:dyDescent="0.35">
      <c r="S15" s="153" t="s">
        <v>131</v>
      </c>
      <c r="T15" s="154">
        <f>Kiinteistöt!V16</f>
        <v>0</v>
      </c>
      <c r="U15" s="155" t="e">
        <f t="shared" si="0"/>
        <v>#DIV/0!</v>
      </c>
    </row>
    <row r="16" spans="1:21" ht="39.5" x14ac:dyDescent="0.35">
      <c r="S16" s="153" t="s">
        <v>132</v>
      </c>
      <c r="T16" s="154">
        <f>Matkustaminen!C12</f>
        <v>0</v>
      </c>
      <c r="U16" s="155" t="e">
        <f t="shared" si="0"/>
        <v>#DIV/0!</v>
      </c>
    </row>
    <row r="17" spans="7:21" x14ac:dyDescent="0.35">
      <c r="G17" s="176"/>
      <c r="H17" s="58"/>
      <c r="S17" s="153" t="s">
        <v>9</v>
      </c>
      <c r="T17" s="164">
        <f>Matkustaminen!C41</f>
        <v>0</v>
      </c>
      <c r="U17" s="155" t="e">
        <f t="shared" si="0"/>
        <v>#DIV/0!</v>
      </c>
    </row>
    <row r="18" spans="7:21" x14ac:dyDescent="0.35">
      <c r="S18" s="153" t="s">
        <v>77</v>
      </c>
      <c r="T18" s="154">
        <f>Hankinnat!D11</f>
        <v>0</v>
      </c>
      <c r="U18" s="155" t="e">
        <f t="shared" si="0"/>
        <v>#DIV/0!</v>
      </c>
    </row>
    <row r="19" spans="7:21" x14ac:dyDescent="0.35">
      <c r="S19" s="158" t="s">
        <v>133</v>
      </c>
      <c r="T19" s="159">
        <f>Matkustaminen!C47</f>
        <v>0</v>
      </c>
      <c r="U19" s="160" t="e">
        <f t="shared" si="0"/>
        <v>#DIV/0!</v>
      </c>
    </row>
    <row r="20" spans="7:21" x14ac:dyDescent="0.35">
      <c r="S20" s="161"/>
      <c r="T20" s="156" t="e">
        <f>G12</f>
        <v>#DIV/0!</v>
      </c>
      <c r="U20" s="16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93"/>
  <sheetViews>
    <sheetView zoomScale="75" zoomScaleNormal="100" workbookViewId="0">
      <selection activeCell="B1" sqref="B1"/>
    </sheetView>
  </sheetViews>
  <sheetFormatPr defaultColWidth="9.1796875" defaultRowHeight="14.5" x14ac:dyDescent="0.35"/>
  <cols>
    <col min="1" max="1" width="3.453125" style="35" customWidth="1"/>
    <col min="2" max="2" width="43.26953125" style="3" customWidth="1"/>
    <col min="3" max="3" width="17.54296875" style="36" customWidth="1"/>
    <col min="4" max="4" width="9.1796875" style="3"/>
    <col min="5" max="5" width="8.1796875" style="40" customWidth="1"/>
    <col min="6" max="16384" width="9.1796875" style="3"/>
  </cols>
  <sheetData>
    <row r="1" spans="1:6" s="131" customFormat="1" ht="18.5" x14ac:dyDescent="0.45">
      <c r="A1" s="196"/>
      <c r="B1" s="129" t="s">
        <v>18</v>
      </c>
      <c r="C1" s="197"/>
      <c r="E1" s="198" t="s">
        <v>19</v>
      </c>
    </row>
    <row r="2" spans="1:6" x14ac:dyDescent="0.35">
      <c r="C2" s="13"/>
      <c r="E2" s="37" t="s">
        <v>20</v>
      </c>
    </row>
    <row r="3" spans="1:6" ht="18.5" x14ac:dyDescent="0.45">
      <c r="B3" s="38" t="s">
        <v>70</v>
      </c>
      <c r="C3" s="39" t="s">
        <v>159</v>
      </c>
      <c r="E3" s="47" t="s">
        <v>220</v>
      </c>
    </row>
    <row r="4" spans="1:6" x14ac:dyDescent="0.35">
      <c r="C4" s="164"/>
      <c r="D4" s="264" t="s">
        <v>43</v>
      </c>
      <c r="E4" s="265"/>
    </row>
    <row r="5" spans="1:6" x14ac:dyDescent="0.35">
      <c r="B5" s="41" t="s">
        <v>23</v>
      </c>
      <c r="C5" s="164"/>
      <c r="F5" s="25"/>
    </row>
    <row r="6" spans="1:6" x14ac:dyDescent="0.35">
      <c r="B6" s="3" t="s">
        <v>36</v>
      </c>
      <c r="C6" s="42">
        <f>D8*1.2</f>
        <v>132</v>
      </c>
      <c r="E6" s="40">
        <v>3</v>
      </c>
      <c r="F6" s="3" t="s">
        <v>239</v>
      </c>
    </row>
    <row r="7" spans="1:6" x14ac:dyDescent="0.35">
      <c r="B7" s="44" t="s">
        <v>40</v>
      </c>
      <c r="C7" s="42">
        <v>0</v>
      </c>
      <c r="E7" s="43">
        <v>2</v>
      </c>
      <c r="F7" s="44" t="s">
        <v>22</v>
      </c>
    </row>
    <row r="8" spans="1:6" x14ac:dyDescent="0.35">
      <c r="B8" s="3" t="s">
        <v>189</v>
      </c>
      <c r="C8" s="42">
        <f t="shared" ref="C8:C13" si="0">D8*1.2</f>
        <v>132</v>
      </c>
      <c r="D8" s="68">
        <v>110</v>
      </c>
      <c r="F8" s="74" t="s">
        <v>195</v>
      </c>
    </row>
    <row r="9" spans="1:6" x14ac:dyDescent="0.35">
      <c r="B9" s="3" t="s">
        <v>190</v>
      </c>
      <c r="C9" s="42">
        <f t="shared" si="0"/>
        <v>132</v>
      </c>
      <c r="D9" s="68">
        <v>110</v>
      </c>
      <c r="F9" s="74" t="s">
        <v>195</v>
      </c>
    </row>
    <row r="10" spans="1:6" ht="15" customHeight="1" x14ac:dyDescent="0.35">
      <c r="B10" s="3" t="s">
        <v>191</v>
      </c>
      <c r="C10" s="42">
        <f t="shared" si="0"/>
        <v>132</v>
      </c>
      <c r="D10" s="68">
        <v>110</v>
      </c>
      <c r="F10" s="74" t="s">
        <v>195</v>
      </c>
    </row>
    <row r="11" spans="1:6" x14ac:dyDescent="0.35">
      <c r="B11" s="3" t="s">
        <v>192</v>
      </c>
      <c r="C11" s="42">
        <f t="shared" si="0"/>
        <v>132</v>
      </c>
      <c r="D11" s="68">
        <v>110</v>
      </c>
      <c r="F11" s="74" t="s">
        <v>195</v>
      </c>
    </row>
    <row r="12" spans="1:6" ht="15" customHeight="1" x14ac:dyDescent="0.35">
      <c r="B12" s="3" t="s">
        <v>193</v>
      </c>
      <c r="C12" s="42">
        <f t="shared" si="0"/>
        <v>132</v>
      </c>
      <c r="D12" s="68">
        <v>110</v>
      </c>
      <c r="F12" s="74" t="s">
        <v>195</v>
      </c>
    </row>
    <row r="13" spans="1:6" x14ac:dyDescent="0.35">
      <c r="B13" s="3" t="s">
        <v>194</v>
      </c>
      <c r="C13" s="42">
        <f t="shared" si="0"/>
        <v>132</v>
      </c>
      <c r="D13" s="68">
        <v>110</v>
      </c>
      <c r="F13" s="74" t="s">
        <v>195</v>
      </c>
    </row>
    <row r="14" spans="1:6" x14ac:dyDescent="0.35">
      <c r="C14" s="164"/>
      <c r="D14" s="164"/>
      <c r="F14" s="74"/>
    </row>
    <row r="15" spans="1:6" x14ac:dyDescent="0.35">
      <c r="C15" s="164"/>
      <c r="D15" s="224" t="s">
        <v>188</v>
      </c>
      <c r="F15" s="74"/>
    </row>
    <row r="16" spans="1:6" x14ac:dyDescent="0.35">
      <c r="B16" s="41" t="s">
        <v>21</v>
      </c>
      <c r="C16" s="164"/>
    </row>
    <row r="17" spans="2:7" x14ac:dyDescent="0.35">
      <c r="B17" s="3" t="s">
        <v>35</v>
      </c>
      <c r="C17" s="42">
        <f>D19*1.2</f>
        <v>115.19999999999999</v>
      </c>
      <c r="E17" s="43">
        <v>3</v>
      </c>
      <c r="F17" s="3" t="s">
        <v>239</v>
      </c>
    </row>
    <row r="18" spans="2:7" x14ac:dyDescent="0.35">
      <c r="B18" s="3" t="s">
        <v>39</v>
      </c>
      <c r="C18" s="42">
        <v>0</v>
      </c>
      <c r="E18" s="43">
        <v>2</v>
      </c>
      <c r="F18" s="44" t="s">
        <v>22</v>
      </c>
    </row>
    <row r="19" spans="2:7" x14ac:dyDescent="0.35">
      <c r="B19" s="3" t="s">
        <v>189</v>
      </c>
      <c r="C19" s="42">
        <f t="shared" ref="C19:C24" si="1">D19*1.2</f>
        <v>115.19999999999999</v>
      </c>
      <c r="D19" s="68">
        <v>96</v>
      </c>
      <c r="F19" s="74" t="s">
        <v>195</v>
      </c>
      <c r="G19" s="44"/>
    </row>
    <row r="20" spans="2:7" x14ac:dyDescent="0.35">
      <c r="B20" s="3" t="s">
        <v>190</v>
      </c>
      <c r="C20" s="42">
        <f t="shared" si="1"/>
        <v>115.19999999999999</v>
      </c>
      <c r="D20" s="68">
        <v>96</v>
      </c>
      <c r="F20" s="74" t="s">
        <v>195</v>
      </c>
      <c r="G20" s="44"/>
    </row>
    <row r="21" spans="2:7" x14ac:dyDescent="0.35">
      <c r="B21" s="3" t="s">
        <v>191</v>
      </c>
      <c r="C21" s="42">
        <f t="shared" si="1"/>
        <v>115.19999999999999</v>
      </c>
      <c r="D21" s="68">
        <v>96</v>
      </c>
      <c r="F21" s="74" t="s">
        <v>195</v>
      </c>
      <c r="G21" s="44"/>
    </row>
    <row r="22" spans="2:7" x14ac:dyDescent="0.35">
      <c r="B22" s="3" t="s">
        <v>192</v>
      </c>
      <c r="C22" s="42">
        <f t="shared" si="1"/>
        <v>115.19999999999999</v>
      </c>
      <c r="D22" s="68">
        <v>96</v>
      </c>
      <c r="F22" s="74" t="s">
        <v>195</v>
      </c>
      <c r="G22" s="44"/>
    </row>
    <row r="23" spans="2:7" x14ac:dyDescent="0.35">
      <c r="B23" s="3" t="s">
        <v>193</v>
      </c>
      <c r="C23" s="42">
        <f t="shared" si="1"/>
        <v>115.19999999999999</v>
      </c>
      <c r="D23" s="68">
        <v>96</v>
      </c>
      <c r="F23" s="74" t="s">
        <v>195</v>
      </c>
      <c r="G23" s="44"/>
    </row>
    <row r="24" spans="2:7" x14ac:dyDescent="0.35">
      <c r="B24" s="3" t="s">
        <v>194</v>
      </c>
      <c r="C24" s="42">
        <f t="shared" si="1"/>
        <v>115.19999999999999</v>
      </c>
      <c r="D24" s="68">
        <v>96</v>
      </c>
      <c r="F24" s="74" t="s">
        <v>195</v>
      </c>
      <c r="G24" s="44"/>
    </row>
    <row r="25" spans="2:7" x14ac:dyDescent="0.35">
      <c r="C25" s="164"/>
      <c r="D25" s="164"/>
      <c r="F25" s="74"/>
      <c r="G25" s="44"/>
    </row>
    <row r="26" spans="2:7" x14ac:dyDescent="0.35">
      <c r="C26" s="164"/>
      <c r="D26" s="224" t="s">
        <v>188</v>
      </c>
    </row>
    <row r="27" spans="2:7" x14ac:dyDescent="0.35">
      <c r="B27" s="41" t="s">
        <v>37</v>
      </c>
      <c r="C27" s="164"/>
    </row>
    <row r="28" spans="2:7" x14ac:dyDescent="0.35">
      <c r="B28" s="3" t="s">
        <v>110</v>
      </c>
      <c r="C28" s="42">
        <v>0</v>
      </c>
      <c r="E28" s="40" t="s">
        <v>116</v>
      </c>
      <c r="F28" s="3" t="s">
        <v>109</v>
      </c>
    </row>
    <row r="29" spans="2:7" x14ac:dyDescent="0.35">
      <c r="B29" s="3" t="s">
        <v>25</v>
      </c>
      <c r="C29" s="42">
        <f>C17</f>
        <v>115.19999999999999</v>
      </c>
      <c r="E29" s="43">
        <v>3</v>
      </c>
      <c r="F29" s="3" t="s">
        <v>108</v>
      </c>
    </row>
    <row r="30" spans="2:7" x14ac:dyDescent="0.35">
      <c r="B30" s="3" t="s">
        <v>196</v>
      </c>
      <c r="C30" s="42">
        <f t="shared" ref="C30:C35" si="2">D30*1.2</f>
        <v>0</v>
      </c>
      <c r="D30" s="68"/>
      <c r="F30" s="74" t="s">
        <v>195</v>
      </c>
    </row>
    <row r="31" spans="2:7" x14ac:dyDescent="0.35">
      <c r="B31" s="3" t="s">
        <v>197</v>
      </c>
      <c r="C31" s="42">
        <f t="shared" si="2"/>
        <v>0</v>
      </c>
      <c r="D31" s="68"/>
      <c r="F31" s="74" t="s">
        <v>195</v>
      </c>
    </row>
    <row r="32" spans="2:7" x14ac:dyDescent="0.35">
      <c r="B32" s="3" t="s">
        <v>198</v>
      </c>
      <c r="C32" s="42">
        <f t="shared" si="2"/>
        <v>0</v>
      </c>
      <c r="D32" s="68"/>
      <c r="F32" s="74" t="s">
        <v>195</v>
      </c>
    </row>
    <row r="33" spans="2:7" x14ac:dyDescent="0.35">
      <c r="B33" s="3" t="s">
        <v>199</v>
      </c>
      <c r="C33" s="42">
        <f t="shared" si="2"/>
        <v>0</v>
      </c>
      <c r="D33" s="68"/>
      <c r="F33" s="74" t="s">
        <v>195</v>
      </c>
    </row>
    <row r="34" spans="2:7" x14ac:dyDescent="0.35">
      <c r="B34" s="3" t="s">
        <v>200</v>
      </c>
      <c r="C34" s="42">
        <f t="shared" si="2"/>
        <v>0</v>
      </c>
      <c r="D34" s="68"/>
      <c r="F34" s="74" t="s">
        <v>195</v>
      </c>
    </row>
    <row r="35" spans="2:7" x14ac:dyDescent="0.35">
      <c r="B35" s="3" t="s">
        <v>201</v>
      </c>
      <c r="C35" s="42">
        <f t="shared" si="2"/>
        <v>0</v>
      </c>
      <c r="D35" s="68"/>
      <c r="F35" s="74" t="s">
        <v>195</v>
      </c>
    </row>
    <row r="36" spans="2:7" x14ac:dyDescent="0.35">
      <c r="C36" s="164"/>
      <c r="D36" s="164"/>
      <c r="F36" s="74"/>
      <c r="G36" s="44"/>
    </row>
    <row r="37" spans="2:7" x14ac:dyDescent="0.35">
      <c r="C37" s="164"/>
      <c r="D37" s="224" t="s">
        <v>188</v>
      </c>
    </row>
    <row r="38" spans="2:7" x14ac:dyDescent="0.35">
      <c r="B38" s="45" t="s">
        <v>24</v>
      </c>
      <c r="C38" s="164"/>
    </row>
    <row r="39" spans="2:7" x14ac:dyDescent="0.35">
      <c r="B39" s="3" t="s">
        <v>117</v>
      </c>
      <c r="C39" s="42">
        <v>400</v>
      </c>
      <c r="E39" s="40">
        <v>5</v>
      </c>
      <c r="F39" t="s">
        <v>219</v>
      </c>
    </row>
    <row r="40" spans="2:7" x14ac:dyDescent="0.35">
      <c r="C40" s="13"/>
    </row>
    <row r="41" spans="2:7" x14ac:dyDescent="0.35">
      <c r="B41" s="9" t="s">
        <v>52</v>
      </c>
      <c r="C41" s="112" t="s">
        <v>160</v>
      </c>
    </row>
    <row r="42" spans="2:7" x14ac:dyDescent="0.35">
      <c r="B42" s="3" t="s">
        <v>138</v>
      </c>
      <c r="C42" s="173">
        <v>0.69</v>
      </c>
      <c r="E42" s="40">
        <v>30</v>
      </c>
      <c r="F42" s="3" t="s">
        <v>136</v>
      </c>
    </row>
    <row r="43" spans="2:7" x14ac:dyDescent="0.35">
      <c r="C43" s="13"/>
      <c r="E43" s="3"/>
    </row>
    <row r="44" spans="2:7" ht="16.5" x14ac:dyDescent="0.45">
      <c r="B44" s="9" t="s">
        <v>293</v>
      </c>
      <c r="C44" s="112" t="s">
        <v>157</v>
      </c>
      <c r="E44" s="3"/>
    </row>
    <row r="45" spans="2:7" x14ac:dyDescent="0.35">
      <c r="B45" s="3" t="s">
        <v>53</v>
      </c>
      <c r="C45" s="174">
        <v>0.2</v>
      </c>
      <c r="E45" s="43">
        <v>32</v>
      </c>
      <c r="F45" s="44" t="s">
        <v>181</v>
      </c>
    </row>
    <row r="46" spans="2:7" x14ac:dyDescent="0.35">
      <c r="B46" s="3" t="s">
        <v>54</v>
      </c>
      <c r="C46" s="174">
        <v>0.11</v>
      </c>
      <c r="E46" s="43">
        <v>33</v>
      </c>
      <c r="F46" s="44" t="s">
        <v>177</v>
      </c>
    </row>
    <row r="47" spans="2:7" x14ac:dyDescent="0.35">
      <c r="B47" s="3" t="s">
        <v>152</v>
      </c>
      <c r="C47" s="174">
        <v>0.04</v>
      </c>
      <c r="E47" s="43">
        <v>33</v>
      </c>
      <c r="F47" s="44" t="s">
        <v>177</v>
      </c>
    </row>
    <row r="48" spans="2:7" x14ac:dyDescent="0.35">
      <c r="B48" s="3" t="s">
        <v>153</v>
      </c>
      <c r="C48" s="174">
        <v>0.05</v>
      </c>
      <c r="E48" s="43">
        <v>33</v>
      </c>
      <c r="F48" s="44" t="s">
        <v>177</v>
      </c>
    </row>
    <row r="49" spans="2:12" x14ac:dyDescent="0.35">
      <c r="B49" s="3" t="s">
        <v>154</v>
      </c>
      <c r="C49" s="175">
        <v>9.1399999999999995E-2</v>
      </c>
      <c r="E49" s="43">
        <v>33</v>
      </c>
      <c r="F49" s="44" t="s">
        <v>177</v>
      </c>
    </row>
    <row r="50" spans="2:12" x14ac:dyDescent="0.35">
      <c r="B50" s="3" t="s">
        <v>155</v>
      </c>
      <c r="C50" s="175">
        <v>9.1399999999999995E-2</v>
      </c>
      <c r="E50" s="43">
        <v>33</v>
      </c>
      <c r="F50" s="44" t="s">
        <v>177</v>
      </c>
    </row>
    <row r="51" spans="2:12" x14ac:dyDescent="0.35">
      <c r="B51" s="3" t="s">
        <v>156</v>
      </c>
      <c r="C51" s="175">
        <v>4.0399999999999998E-2</v>
      </c>
      <c r="E51" s="43">
        <v>33</v>
      </c>
      <c r="F51" s="44" t="s">
        <v>177</v>
      </c>
    </row>
    <row r="52" spans="2:12" x14ac:dyDescent="0.35">
      <c r="C52" s="13"/>
    </row>
    <row r="53" spans="2:12" ht="18.5" x14ac:dyDescent="0.45">
      <c r="B53" s="38" t="s">
        <v>71</v>
      </c>
      <c r="C53" s="164"/>
      <c r="E53" s="47" t="s">
        <v>283</v>
      </c>
    </row>
    <row r="54" spans="2:12" ht="18.5" x14ac:dyDescent="0.45">
      <c r="B54" s="38"/>
      <c r="C54" s="164"/>
      <c r="E54" s="74" t="s">
        <v>72</v>
      </c>
    </row>
    <row r="55" spans="2:12" x14ac:dyDescent="0.35">
      <c r="B55" s="9" t="s">
        <v>4</v>
      </c>
      <c r="C55" s="39" t="s">
        <v>163</v>
      </c>
      <c r="E55" s="47" t="s">
        <v>292</v>
      </c>
    </row>
    <row r="56" spans="2:12" x14ac:dyDescent="0.35">
      <c r="B56" s="3" t="s">
        <v>284</v>
      </c>
      <c r="C56" s="179">
        <f>0.24587+0.02691</f>
        <v>0.27278000000000002</v>
      </c>
      <c r="E56" s="40">
        <v>34</v>
      </c>
      <c r="F56" s="3" t="s">
        <v>287</v>
      </c>
    </row>
    <row r="57" spans="2:12" x14ac:dyDescent="0.35">
      <c r="B57" s="3" t="s">
        <v>285</v>
      </c>
      <c r="C57" s="179">
        <f>0.15353+0.01681</f>
        <v>0.17033999999999999</v>
      </c>
      <c r="E57" s="40">
        <v>34</v>
      </c>
      <c r="F57" s="3" t="s">
        <v>287</v>
      </c>
    </row>
    <row r="58" spans="2:12" x14ac:dyDescent="0.35">
      <c r="B58" s="3" t="s">
        <v>286</v>
      </c>
      <c r="C58" s="179">
        <f>(0.19309+0.02114+0.18362+0.02011)/2</f>
        <v>0.20898000000000003</v>
      </c>
      <c r="E58" s="40">
        <v>34</v>
      </c>
      <c r="F58" s="3" t="s">
        <v>287</v>
      </c>
    </row>
    <row r="59" spans="2:12" x14ac:dyDescent="0.35">
      <c r="C59" s="164"/>
    </row>
    <row r="60" spans="2:12" x14ac:dyDescent="0.35">
      <c r="B60" s="9" t="s">
        <v>26</v>
      </c>
      <c r="C60" s="39" t="s">
        <v>164</v>
      </c>
      <c r="D60" s="23"/>
    </row>
    <row r="61" spans="2:12" x14ac:dyDescent="0.35">
      <c r="B61" s="44" t="s">
        <v>97</v>
      </c>
      <c r="C61" s="179">
        <f>0.17082+0.04104</f>
        <v>0.21185999999999999</v>
      </c>
      <c r="E61" s="40">
        <v>35</v>
      </c>
      <c r="F61" s="3" t="s">
        <v>289</v>
      </c>
      <c r="L61" s="25"/>
    </row>
    <row r="62" spans="2:12" x14ac:dyDescent="0.35">
      <c r="B62" s="44" t="s">
        <v>98</v>
      </c>
      <c r="C62" s="179">
        <f>0.17048+0.04885</f>
        <v>0.21933</v>
      </c>
      <c r="E62" s="40">
        <v>35</v>
      </c>
      <c r="F62" s="3" t="s">
        <v>289</v>
      </c>
    </row>
    <row r="63" spans="2:12" x14ac:dyDescent="0.35">
      <c r="B63" s="3" t="s">
        <v>102</v>
      </c>
      <c r="C63" s="179">
        <f>C74*4.5/100</f>
        <v>0.167715</v>
      </c>
      <c r="E63" s="43">
        <v>31</v>
      </c>
      <c r="F63" s="44" t="s">
        <v>169</v>
      </c>
    </row>
    <row r="64" spans="2:12" x14ac:dyDescent="0.35">
      <c r="B64" s="44" t="s">
        <v>103</v>
      </c>
      <c r="C64" s="181">
        <f>C75*4.5/100</f>
        <v>4.2749999999999996E-2</v>
      </c>
      <c r="D64" s="25"/>
      <c r="E64" s="43">
        <v>31</v>
      </c>
      <c r="F64" s="44" t="s">
        <v>169</v>
      </c>
    </row>
    <row r="65" spans="2:6" x14ac:dyDescent="0.35">
      <c r="B65" s="3" t="s">
        <v>99</v>
      </c>
      <c r="C65" s="179">
        <f>0.17067+0.04508</f>
        <v>0.21575</v>
      </c>
      <c r="E65" s="40">
        <v>35</v>
      </c>
      <c r="F65" s="3" t="s">
        <v>289</v>
      </c>
    </row>
    <row r="66" spans="2:6" x14ac:dyDescent="0.35">
      <c r="B66" s="3" t="s">
        <v>100</v>
      </c>
      <c r="C66" s="179">
        <f>17/100/1000*C17</f>
        <v>1.9584000000000001E-2</v>
      </c>
      <c r="E66" s="43">
        <v>31</v>
      </c>
      <c r="F66" s="44" t="s">
        <v>169</v>
      </c>
    </row>
    <row r="67" spans="2:6" x14ac:dyDescent="0.35">
      <c r="B67" s="47" t="s">
        <v>101</v>
      </c>
      <c r="C67" s="181">
        <f>0.12004+0.03132</f>
        <v>0.15135999999999999</v>
      </c>
      <c r="E67" s="40">
        <v>35</v>
      </c>
      <c r="F67" s="3" t="s">
        <v>289</v>
      </c>
    </row>
    <row r="68" spans="2:6" x14ac:dyDescent="0.35">
      <c r="B68" s="47" t="s">
        <v>104</v>
      </c>
      <c r="C68" s="181">
        <f>0.0584+0.02657</f>
        <v>8.4970000000000004E-2</v>
      </c>
      <c r="E68" s="40">
        <v>35</v>
      </c>
      <c r="F68" s="3" t="s">
        <v>289</v>
      </c>
    </row>
    <row r="69" spans="2:6" x14ac:dyDescent="0.35">
      <c r="B69" s="47"/>
      <c r="C69" s="251"/>
      <c r="E69" s="3"/>
    </row>
    <row r="70" spans="2:6" x14ac:dyDescent="0.35">
      <c r="B70" s="235" t="s">
        <v>222</v>
      </c>
      <c r="C70" s="182" t="s">
        <v>221</v>
      </c>
      <c r="E70" s="3"/>
    </row>
    <row r="71" spans="2:6" x14ac:dyDescent="0.35">
      <c r="B71" s="44" t="s">
        <v>97</v>
      </c>
      <c r="C71" s="181">
        <f>2.689*1.2</f>
        <v>3.2267999999999999</v>
      </c>
      <c r="E71" s="43">
        <v>31</v>
      </c>
      <c r="F71" s="44" t="s">
        <v>169</v>
      </c>
    </row>
    <row r="72" spans="2:6" x14ac:dyDescent="0.35">
      <c r="B72" s="44" t="s">
        <v>98</v>
      </c>
      <c r="C72" s="181">
        <f>2.348*1.2</f>
        <v>2.8175999999999997</v>
      </c>
      <c r="E72" s="43">
        <v>31</v>
      </c>
      <c r="F72" s="44" t="s">
        <v>169</v>
      </c>
    </row>
    <row r="73" spans="2:6" x14ac:dyDescent="0.35">
      <c r="B73" s="44"/>
      <c r="C73" s="182" t="s">
        <v>223</v>
      </c>
      <c r="E73" s="43"/>
      <c r="F73" s="44"/>
    </row>
    <row r="74" spans="2:6" x14ac:dyDescent="0.35">
      <c r="B74" s="3" t="s">
        <v>102</v>
      </c>
      <c r="C74" s="181">
        <f>2.75+0.977</f>
        <v>3.7269999999999999</v>
      </c>
      <c r="E74" s="43">
        <v>31</v>
      </c>
      <c r="F74" s="44" t="s">
        <v>169</v>
      </c>
    </row>
    <row r="75" spans="2:6" x14ac:dyDescent="0.35">
      <c r="B75" s="44" t="s">
        <v>103</v>
      </c>
      <c r="C75" s="181">
        <f>0.95</f>
        <v>0.95</v>
      </c>
      <c r="E75" s="43">
        <v>31</v>
      </c>
      <c r="F75" s="44" t="s">
        <v>169</v>
      </c>
    </row>
    <row r="76" spans="2:6" x14ac:dyDescent="0.35">
      <c r="B76" s="44"/>
      <c r="C76" s="182" t="s">
        <v>230</v>
      </c>
      <c r="E76" s="43"/>
      <c r="F76" s="44"/>
    </row>
    <row r="77" spans="2:6" x14ac:dyDescent="0.35">
      <c r="B77" s="44" t="s">
        <v>129</v>
      </c>
      <c r="C77" s="181">
        <f>C17/1000</f>
        <v>0.11519999999999998</v>
      </c>
      <c r="E77" s="43">
        <v>3</v>
      </c>
      <c r="F77" s="3" t="s">
        <v>231</v>
      </c>
    </row>
    <row r="78" spans="2:6" x14ac:dyDescent="0.35">
      <c r="B78" s="44"/>
      <c r="C78" s="251"/>
      <c r="E78" s="43"/>
      <c r="F78" s="44"/>
    </row>
    <row r="79" spans="2:6" x14ac:dyDescent="0.35">
      <c r="B79" s="47"/>
      <c r="C79" s="182" t="s">
        <v>165</v>
      </c>
      <c r="E79" s="3"/>
    </row>
    <row r="80" spans="2:6" x14ac:dyDescent="0.35">
      <c r="B80" s="47" t="s">
        <v>91</v>
      </c>
      <c r="C80" s="179">
        <v>0.18</v>
      </c>
      <c r="E80" s="40">
        <v>23</v>
      </c>
      <c r="F80" t="s">
        <v>184</v>
      </c>
    </row>
    <row r="81" spans="2:6" x14ac:dyDescent="0.35">
      <c r="B81" s="24"/>
      <c r="C81" s="164"/>
      <c r="F81" s="44"/>
    </row>
    <row r="82" spans="2:6" x14ac:dyDescent="0.35">
      <c r="B82" s="9" t="s">
        <v>9</v>
      </c>
      <c r="C82" s="46" t="s">
        <v>165</v>
      </c>
    </row>
    <row r="83" spans="2:6" x14ac:dyDescent="0.35">
      <c r="B83" s="3" t="s">
        <v>27</v>
      </c>
      <c r="C83" s="179">
        <v>0.18</v>
      </c>
      <c r="E83" s="40">
        <v>23</v>
      </c>
      <c r="F83" t="s">
        <v>184</v>
      </c>
    </row>
    <row r="84" spans="2:6" x14ac:dyDescent="0.35">
      <c r="B84" s="3" t="s">
        <v>28</v>
      </c>
      <c r="C84" s="179">
        <v>0</v>
      </c>
      <c r="E84" s="40">
        <v>25</v>
      </c>
      <c r="F84" s="3" t="s">
        <v>88</v>
      </c>
    </row>
    <row r="85" spans="2:6" x14ac:dyDescent="0.35">
      <c r="C85" s="46" t="s">
        <v>165</v>
      </c>
    </row>
    <row r="86" spans="2:6" x14ac:dyDescent="0.35">
      <c r="B86" s="44" t="s">
        <v>161</v>
      </c>
      <c r="C86" s="179">
        <v>0.1</v>
      </c>
      <c r="E86" s="40">
        <v>23</v>
      </c>
      <c r="F86" t="s">
        <v>184</v>
      </c>
    </row>
    <row r="87" spans="2:6" x14ac:dyDescent="0.35">
      <c r="B87" s="44" t="s">
        <v>162</v>
      </c>
      <c r="C87" s="179">
        <v>0.18</v>
      </c>
      <c r="E87" s="40">
        <v>23</v>
      </c>
      <c r="F87" t="s">
        <v>184</v>
      </c>
    </row>
    <row r="88" spans="2:6" x14ac:dyDescent="0.35">
      <c r="B88" s="25"/>
      <c r="C88" s="164"/>
      <c r="F88" s="75"/>
    </row>
    <row r="89" spans="2:6" x14ac:dyDescent="0.35">
      <c r="C89" s="46" t="s">
        <v>165</v>
      </c>
      <c r="F89" s="23"/>
    </row>
    <row r="90" spans="2:6" x14ac:dyDescent="0.35">
      <c r="B90" s="3" t="s">
        <v>10</v>
      </c>
      <c r="C90" s="179">
        <v>0.18</v>
      </c>
      <c r="E90" s="40">
        <v>23</v>
      </c>
      <c r="F90" t="s">
        <v>184</v>
      </c>
    </row>
    <row r="91" spans="2:6" x14ac:dyDescent="0.35">
      <c r="C91" s="164"/>
    </row>
    <row r="92" spans="2:6" x14ac:dyDescent="0.35">
      <c r="C92" s="46" t="s">
        <v>165</v>
      </c>
    </row>
    <row r="93" spans="2:6" x14ac:dyDescent="0.35">
      <c r="B93" s="3" t="s">
        <v>11</v>
      </c>
      <c r="C93" s="250">
        <v>15.3</v>
      </c>
      <c r="E93" s="40">
        <v>35</v>
      </c>
      <c r="F93" t="s">
        <v>274</v>
      </c>
    </row>
    <row r="94" spans="2:6" x14ac:dyDescent="0.35">
      <c r="C94" s="164"/>
    </row>
    <row r="95" spans="2:6" x14ac:dyDescent="0.35">
      <c r="B95" s="18" t="s">
        <v>29</v>
      </c>
      <c r="C95" s="46" t="s">
        <v>165</v>
      </c>
    </row>
    <row r="96" spans="2:6" x14ac:dyDescent="0.35">
      <c r="C96" s="179">
        <v>0.18</v>
      </c>
      <c r="E96" s="40">
        <v>23</v>
      </c>
      <c r="F96" t="s">
        <v>184</v>
      </c>
    </row>
    <row r="97" spans="1:15" x14ac:dyDescent="0.35">
      <c r="C97" s="164"/>
    </row>
    <row r="98" spans="1:15" ht="18.5" x14ac:dyDescent="0.45">
      <c r="B98" s="38" t="s">
        <v>73</v>
      </c>
      <c r="C98" s="164"/>
    </row>
    <row r="99" spans="1:15" ht="16.5" x14ac:dyDescent="0.45">
      <c r="C99" s="46" t="s">
        <v>157</v>
      </c>
    </row>
    <row r="100" spans="1:15" x14ac:dyDescent="0.35">
      <c r="B100" s="98" t="s">
        <v>241</v>
      </c>
      <c r="C100" s="178">
        <v>0.17</v>
      </c>
      <c r="E100" s="40">
        <v>24</v>
      </c>
      <c r="F100" t="s">
        <v>185</v>
      </c>
      <c r="J100" s="266"/>
      <c r="K100" s="266"/>
      <c r="L100" s="266"/>
      <c r="M100" s="266"/>
      <c r="N100" s="266"/>
      <c r="O100" s="266"/>
    </row>
    <row r="101" spans="1:15" x14ac:dyDescent="0.35">
      <c r="B101" s="98" t="s">
        <v>242</v>
      </c>
      <c r="C101" s="178">
        <v>0.11</v>
      </c>
      <c r="E101" s="40">
        <v>24</v>
      </c>
      <c r="F101" t="s">
        <v>185</v>
      </c>
      <c r="J101" s="77"/>
      <c r="K101" s="77"/>
      <c r="L101" s="77"/>
      <c r="M101" s="267"/>
      <c r="N101" s="267"/>
      <c r="O101" s="267"/>
    </row>
    <row r="102" spans="1:15" x14ac:dyDescent="0.35">
      <c r="B102" s="98" t="s">
        <v>75</v>
      </c>
      <c r="C102" s="178">
        <v>0.13</v>
      </c>
      <c r="E102" s="40">
        <v>24</v>
      </c>
      <c r="F102" t="s">
        <v>185</v>
      </c>
      <c r="J102" s="266"/>
      <c r="K102" s="266"/>
      <c r="L102" s="266"/>
      <c r="M102" s="266"/>
      <c r="N102" s="267"/>
      <c r="O102" s="267"/>
    </row>
    <row r="103" spans="1:15" x14ac:dyDescent="0.35">
      <c r="B103" s="98" t="s">
        <v>290</v>
      </c>
      <c r="C103" s="178">
        <v>0.19</v>
      </c>
      <c r="E103" s="40">
        <v>24</v>
      </c>
      <c r="F103" t="s">
        <v>185</v>
      </c>
      <c r="J103" s="77"/>
      <c r="K103" s="77"/>
      <c r="L103" s="77"/>
      <c r="M103" s="267"/>
      <c r="N103" s="267"/>
      <c r="O103" s="267"/>
    </row>
    <row r="104" spans="1:15" x14ac:dyDescent="0.35">
      <c r="B104" s="98" t="s">
        <v>244</v>
      </c>
      <c r="C104" s="178">
        <v>0.48</v>
      </c>
      <c r="E104" s="40">
        <v>24</v>
      </c>
      <c r="F104" t="s">
        <v>185</v>
      </c>
      <c r="J104" s="266"/>
      <c r="K104" s="266"/>
      <c r="L104" s="266"/>
      <c r="M104" s="266"/>
      <c r="N104" s="266"/>
      <c r="O104" s="78"/>
    </row>
    <row r="105" spans="1:15" x14ac:dyDescent="0.35">
      <c r="B105" s="98" t="s">
        <v>74</v>
      </c>
      <c r="C105" s="178">
        <v>0.18</v>
      </c>
      <c r="E105" s="40">
        <v>24</v>
      </c>
      <c r="F105" t="s">
        <v>185</v>
      </c>
      <c r="J105" s="266"/>
      <c r="K105" s="266"/>
      <c r="L105" s="266"/>
      <c r="M105" s="267"/>
      <c r="N105" s="267"/>
      <c r="O105" s="267"/>
    </row>
    <row r="106" spans="1:15" x14ac:dyDescent="0.35">
      <c r="B106" s="3" t="s">
        <v>77</v>
      </c>
      <c r="C106" s="179">
        <v>0.23</v>
      </c>
      <c r="E106" s="40">
        <v>24</v>
      </c>
      <c r="F106" t="s">
        <v>185</v>
      </c>
      <c r="I106" s="3" t="s">
        <v>86</v>
      </c>
    </row>
    <row r="107" spans="1:15" x14ac:dyDescent="0.35">
      <c r="C107" s="13"/>
    </row>
    <row r="108" spans="1:15" s="33" customFormat="1" x14ac:dyDescent="0.35">
      <c r="A108" s="48"/>
      <c r="C108" s="49"/>
      <c r="E108" s="34"/>
    </row>
    <row r="109" spans="1:15" s="33" customFormat="1" x14ac:dyDescent="0.35">
      <c r="A109" s="48"/>
      <c r="B109" s="50" t="s">
        <v>30</v>
      </c>
      <c r="C109" s="49"/>
      <c r="E109" s="34"/>
    </row>
    <row r="110" spans="1:15" s="33" customFormat="1" x14ac:dyDescent="0.35">
      <c r="A110" s="52">
        <v>2</v>
      </c>
      <c r="B110" s="33" t="s">
        <v>31</v>
      </c>
      <c r="C110" s="49"/>
      <c r="E110" s="34"/>
    </row>
    <row r="111" spans="1:15" s="33" customFormat="1" x14ac:dyDescent="0.35">
      <c r="A111" s="51">
        <v>3</v>
      </c>
      <c r="B111" s="33" t="s">
        <v>240</v>
      </c>
      <c r="C111" s="49"/>
      <c r="E111" s="34"/>
    </row>
    <row r="112" spans="1:15" s="33" customFormat="1" x14ac:dyDescent="0.35">
      <c r="A112" s="51">
        <v>4</v>
      </c>
      <c r="B112" s="33" t="s">
        <v>115</v>
      </c>
      <c r="C112" s="49"/>
      <c r="E112" s="34"/>
    </row>
    <row r="113" spans="1:5" s="33" customFormat="1" x14ac:dyDescent="0.35">
      <c r="A113" s="52">
        <v>5</v>
      </c>
      <c r="B113" s="33" t="s">
        <v>32</v>
      </c>
      <c r="C113" s="49"/>
      <c r="E113" s="34"/>
    </row>
    <row r="114" spans="1:5" x14ac:dyDescent="0.35">
      <c r="A114" s="35">
        <v>23</v>
      </c>
      <c r="B114" s="76" t="s">
        <v>186</v>
      </c>
      <c r="C114" s="13"/>
    </row>
    <row r="115" spans="1:5" x14ac:dyDescent="0.35">
      <c r="A115" s="35">
        <v>24</v>
      </c>
      <c r="B115" s="76" t="s">
        <v>187</v>
      </c>
      <c r="C115" s="13"/>
    </row>
    <row r="116" spans="1:5" x14ac:dyDescent="0.35">
      <c r="A116" s="35">
        <v>25</v>
      </c>
      <c r="B116" s="3" t="s">
        <v>87</v>
      </c>
      <c r="C116" s="13"/>
    </row>
    <row r="117" spans="1:5" x14ac:dyDescent="0.35">
      <c r="A117" s="35">
        <v>26</v>
      </c>
      <c r="B117" s="3" t="s">
        <v>111</v>
      </c>
      <c r="C117" s="13"/>
    </row>
    <row r="118" spans="1:5" x14ac:dyDescent="0.35">
      <c r="A118" s="35">
        <v>27</v>
      </c>
      <c r="B118" s="3" t="s">
        <v>114</v>
      </c>
      <c r="C118" s="13"/>
    </row>
    <row r="119" spans="1:5" x14ac:dyDescent="0.35">
      <c r="A119" s="35">
        <v>28</v>
      </c>
      <c r="B119" s="3" t="s">
        <v>113</v>
      </c>
      <c r="C119" s="13"/>
    </row>
    <row r="120" spans="1:5" x14ac:dyDescent="0.35">
      <c r="A120" s="35">
        <v>29</v>
      </c>
      <c r="B120" s="3" t="s">
        <v>112</v>
      </c>
      <c r="C120" s="13"/>
    </row>
    <row r="121" spans="1:5" x14ac:dyDescent="0.35">
      <c r="A121" s="35">
        <v>30</v>
      </c>
      <c r="B121" s="3" t="s">
        <v>137</v>
      </c>
      <c r="C121" s="13"/>
    </row>
    <row r="122" spans="1:5" x14ac:dyDescent="0.35">
      <c r="A122" s="35">
        <v>31</v>
      </c>
      <c r="B122" s="3" t="s">
        <v>170</v>
      </c>
      <c r="C122" s="13"/>
    </row>
    <row r="123" spans="1:5" x14ac:dyDescent="0.35">
      <c r="A123" s="199">
        <v>32</v>
      </c>
      <c r="B123" t="s">
        <v>206</v>
      </c>
      <c r="C123" s="13"/>
    </row>
    <row r="124" spans="1:5" x14ac:dyDescent="0.35">
      <c r="A124" s="35">
        <v>33</v>
      </c>
      <c r="B124" s="3" t="s">
        <v>178</v>
      </c>
      <c r="C124" s="13"/>
    </row>
    <row r="125" spans="1:5" x14ac:dyDescent="0.35">
      <c r="A125" s="35">
        <v>34</v>
      </c>
      <c r="B125" s="3" t="s">
        <v>288</v>
      </c>
      <c r="C125" s="13"/>
    </row>
    <row r="126" spans="1:5" x14ac:dyDescent="0.35">
      <c r="A126" s="35">
        <v>35</v>
      </c>
      <c r="B126" s="76" t="s">
        <v>273</v>
      </c>
      <c r="C126" s="13"/>
    </row>
    <row r="127" spans="1:5" x14ac:dyDescent="0.35">
      <c r="C127" s="13"/>
    </row>
    <row r="128" spans="1:5" x14ac:dyDescent="0.35">
      <c r="C128" s="13"/>
    </row>
    <row r="129" spans="3:3" x14ac:dyDescent="0.35">
      <c r="C129" s="13"/>
    </row>
    <row r="130" spans="3:3" x14ac:dyDescent="0.35">
      <c r="C130" s="13"/>
    </row>
    <row r="131" spans="3:3" x14ac:dyDescent="0.35">
      <c r="C131" s="13"/>
    </row>
    <row r="132" spans="3:3" x14ac:dyDescent="0.35">
      <c r="C132" s="13"/>
    </row>
    <row r="133" spans="3:3" x14ac:dyDescent="0.35">
      <c r="C133" s="13"/>
    </row>
    <row r="134" spans="3:3" x14ac:dyDescent="0.35">
      <c r="C134" s="13"/>
    </row>
    <row r="135" spans="3:3" x14ac:dyDescent="0.35">
      <c r="C135" s="13"/>
    </row>
    <row r="136" spans="3:3" x14ac:dyDescent="0.35">
      <c r="C136" s="13"/>
    </row>
    <row r="137" spans="3:3" x14ac:dyDescent="0.35">
      <c r="C137" s="13"/>
    </row>
    <row r="138" spans="3:3" x14ac:dyDescent="0.35">
      <c r="C138" s="13"/>
    </row>
    <row r="139" spans="3:3" x14ac:dyDescent="0.35">
      <c r="C139" s="13"/>
    </row>
    <row r="140" spans="3:3" x14ac:dyDescent="0.35">
      <c r="C140" s="13"/>
    </row>
    <row r="141" spans="3:3" x14ac:dyDescent="0.35">
      <c r="C141" s="13"/>
    </row>
    <row r="142" spans="3:3" x14ac:dyDescent="0.35">
      <c r="C142" s="13"/>
    </row>
    <row r="143" spans="3:3" x14ac:dyDescent="0.35">
      <c r="C143" s="13"/>
    </row>
    <row r="144" spans="3:3" x14ac:dyDescent="0.35">
      <c r="C144" s="13"/>
    </row>
    <row r="145" spans="3:3" x14ac:dyDescent="0.35">
      <c r="C145" s="13"/>
    </row>
    <row r="146" spans="3:3" x14ac:dyDescent="0.35">
      <c r="C146" s="13"/>
    </row>
    <row r="147" spans="3:3" x14ac:dyDescent="0.35">
      <c r="C147" s="13"/>
    </row>
    <row r="148" spans="3:3" x14ac:dyDescent="0.35">
      <c r="C148" s="13"/>
    </row>
    <row r="149" spans="3:3" x14ac:dyDescent="0.35">
      <c r="C149" s="13"/>
    </row>
    <row r="150" spans="3:3" x14ac:dyDescent="0.35">
      <c r="C150" s="13"/>
    </row>
    <row r="151" spans="3:3" x14ac:dyDescent="0.35">
      <c r="C151" s="13"/>
    </row>
    <row r="152" spans="3:3" x14ac:dyDescent="0.35">
      <c r="C152" s="13"/>
    </row>
    <row r="153" spans="3:3" x14ac:dyDescent="0.35">
      <c r="C153" s="13"/>
    </row>
    <row r="154" spans="3:3" x14ac:dyDescent="0.35">
      <c r="C154" s="13"/>
    </row>
    <row r="155" spans="3:3" x14ac:dyDescent="0.35">
      <c r="C155" s="13"/>
    </row>
    <row r="156" spans="3:3" x14ac:dyDescent="0.35">
      <c r="C156" s="13"/>
    </row>
    <row r="157" spans="3:3" x14ac:dyDescent="0.35">
      <c r="C157" s="13"/>
    </row>
    <row r="158" spans="3:3" x14ac:dyDescent="0.35">
      <c r="C158" s="13"/>
    </row>
    <row r="159" spans="3:3" x14ac:dyDescent="0.35">
      <c r="C159" s="13"/>
    </row>
    <row r="160" spans="3:3" x14ac:dyDescent="0.35">
      <c r="C160" s="13"/>
    </row>
    <row r="161" spans="3:3" x14ac:dyDescent="0.35">
      <c r="C161" s="13"/>
    </row>
    <row r="162" spans="3:3" x14ac:dyDescent="0.35">
      <c r="C162" s="13"/>
    </row>
    <row r="163" spans="3:3" x14ac:dyDescent="0.35">
      <c r="C163" s="13"/>
    </row>
    <row r="164" spans="3:3" x14ac:dyDescent="0.35">
      <c r="C164" s="13"/>
    </row>
    <row r="165" spans="3:3" x14ac:dyDescent="0.35">
      <c r="C165" s="13"/>
    </row>
    <row r="166" spans="3:3" x14ac:dyDescent="0.35">
      <c r="C166" s="13"/>
    </row>
    <row r="167" spans="3:3" x14ac:dyDescent="0.35">
      <c r="C167" s="13"/>
    </row>
    <row r="168" spans="3:3" x14ac:dyDescent="0.35">
      <c r="C168" s="13"/>
    </row>
    <row r="169" spans="3:3" x14ac:dyDescent="0.35">
      <c r="C169" s="13"/>
    </row>
    <row r="170" spans="3:3" x14ac:dyDescent="0.35">
      <c r="C170" s="13"/>
    </row>
    <row r="171" spans="3:3" x14ac:dyDescent="0.35">
      <c r="C171" s="13"/>
    </row>
    <row r="172" spans="3:3" x14ac:dyDescent="0.35">
      <c r="C172" s="13"/>
    </row>
    <row r="173" spans="3:3" x14ac:dyDescent="0.35">
      <c r="C173" s="13"/>
    </row>
    <row r="174" spans="3:3" x14ac:dyDescent="0.35">
      <c r="C174" s="13"/>
    </row>
    <row r="175" spans="3:3" x14ac:dyDescent="0.35">
      <c r="C175" s="13"/>
    </row>
    <row r="176" spans="3:3" x14ac:dyDescent="0.35">
      <c r="C176" s="13"/>
    </row>
    <row r="177" spans="3:3" x14ac:dyDescent="0.35">
      <c r="C177" s="13"/>
    </row>
    <row r="178" spans="3:3" x14ac:dyDescent="0.35">
      <c r="C178" s="13"/>
    </row>
    <row r="179" spans="3:3" x14ac:dyDescent="0.35">
      <c r="C179" s="13"/>
    </row>
    <row r="180" spans="3:3" x14ac:dyDescent="0.35">
      <c r="C180" s="13"/>
    </row>
    <row r="181" spans="3:3" x14ac:dyDescent="0.35">
      <c r="C181" s="13"/>
    </row>
    <row r="182" spans="3:3" x14ac:dyDescent="0.35">
      <c r="C182" s="13"/>
    </row>
    <row r="183" spans="3:3" x14ac:dyDescent="0.35">
      <c r="C183" s="13"/>
    </row>
    <row r="184" spans="3:3" x14ac:dyDescent="0.35">
      <c r="C184" s="13"/>
    </row>
    <row r="185" spans="3:3" x14ac:dyDescent="0.35">
      <c r="C185" s="13"/>
    </row>
    <row r="186" spans="3:3" x14ac:dyDescent="0.35">
      <c r="C186" s="13"/>
    </row>
    <row r="187" spans="3:3" x14ac:dyDescent="0.35">
      <c r="C187" s="13"/>
    </row>
    <row r="188" spans="3:3" x14ac:dyDescent="0.35">
      <c r="C188" s="13"/>
    </row>
    <row r="189" spans="3:3" x14ac:dyDescent="0.35">
      <c r="C189" s="13"/>
    </row>
    <row r="190" spans="3:3" x14ac:dyDescent="0.35">
      <c r="C190" s="13"/>
    </row>
    <row r="191" spans="3:3" x14ac:dyDescent="0.35">
      <c r="C191" s="13"/>
    </row>
    <row r="192" spans="3:3" x14ac:dyDescent="0.35">
      <c r="C192" s="13"/>
    </row>
    <row r="193" spans="3:3" x14ac:dyDescent="0.35">
      <c r="C193" s="13"/>
    </row>
  </sheetData>
  <mergeCells count="9">
    <mergeCell ref="D4:E4"/>
    <mergeCell ref="J104:N104"/>
    <mergeCell ref="J105:L105"/>
    <mergeCell ref="M105:O105"/>
    <mergeCell ref="J100:O100"/>
    <mergeCell ref="M101:O101"/>
    <mergeCell ref="J102:M102"/>
    <mergeCell ref="N102:O102"/>
    <mergeCell ref="M103:O103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2BAF7C55A3A5439272651C3D8445A2" ma:contentTypeVersion="4" ma:contentTypeDescription="Luo uusi asiakirja." ma:contentTypeScope="" ma:versionID="c86c4381bd5e596b7fae767315ba71cb">
  <xsd:schema xmlns:xsd="http://www.w3.org/2001/XMLSchema" xmlns:xs="http://www.w3.org/2001/XMLSchema" xmlns:p="http://schemas.microsoft.com/office/2006/metadata/properties" xmlns:ns2="dfd8e4a4-70d7-4c0d-a25c-a511f8269936" xmlns:ns3="20e3c84d-6415-40c4-b165-0a4bee2611c4" targetNamespace="http://schemas.microsoft.com/office/2006/metadata/properties" ma:root="true" ma:fieldsID="aa70d8cc7bf35fad139e8284e80594be" ns2:_="" ns3:_="">
    <xsd:import namespace="dfd8e4a4-70d7-4c0d-a25c-a511f8269936"/>
    <xsd:import namespace="20e3c84d-6415-40c4-b165-0a4bee2611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8e4a4-70d7-4c0d-a25c-a511f8269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3c84d-6415-40c4-b165-0a4bee261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CADE5-7D08-4AD5-9A78-F08FF43BCDAC}">
  <ds:schemaRefs>
    <ds:schemaRef ds:uri="http://purl.org/dc/elements/1.1/"/>
    <ds:schemaRef ds:uri="http://purl.org/dc/dcmitype/"/>
    <ds:schemaRef ds:uri="dfd8e4a4-70d7-4c0d-a25c-a511f826993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20e3c84d-6415-40c4-b165-0a4bee2611c4"/>
  </ds:schemaRefs>
</ds:datastoreItem>
</file>

<file path=customXml/itemProps2.xml><?xml version="1.0" encoding="utf-8"?>
<ds:datastoreItem xmlns:ds="http://schemas.openxmlformats.org/officeDocument/2006/customXml" ds:itemID="{6AC6B077-3C1A-4C4D-BEFF-F890BC01EE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E93C8-1ADB-444A-938D-CED265A47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d8e4a4-70d7-4c0d-a25c-a511f8269936"/>
    <ds:schemaRef ds:uri="20e3c84d-6415-40c4-b165-0a4bee261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Johdanto</vt:lpstr>
      <vt:lpstr>Matkustaminen</vt:lpstr>
      <vt:lpstr>Kiinteistöt</vt:lpstr>
      <vt:lpstr>Hankinnat</vt:lpstr>
      <vt:lpstr>Yhteenveto</vt:lpstr>
      <vt:lpstr>Kertoimet</vt:lpstr>
    </vt:vector>
  </TitlesOfParts>
  <Manager/>
  <Company>Tampere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Eveliina Asikainen (TAMK)</dc:creator>
  <cp:keywords/>
  <dc:description/>
  <cp:lastModifiedBy>Laitinen, Asseri</cp:lastModifiedBy>
  <cp:revision/>
  <dcterms:created xsi:type="dcterms:W3CDTF">2020-08-23T16:59:15Z</dcterms:created>
  <dcterms:modified xsi:type="dcterms:W3CDTF">2023-04-28T10:24:03Z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0x010100812BAF7C55A3A5439272651C3D8445A2</vt:lpwstr>
  </property>
</Properties>
</file>